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0acfb7b09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Log" sheetId="1" r:id="R3736861c1fb34931"/>
    <x:sheet xmlns:r="http://schemas.openxmlformats.org/officeDocument/2006/relationships" name="Inputs" sheetId="2" r:id="R2a94e01a2cc24f35"/>
    <x:sheet xmlns:r="http://schemas.openxmlformats.org/officeDocument/2006/relationships" name="Channel Contribution" sheetId="3" r:id="R936598d0d0914569"/>
    <x:sheet xmlns:r="http://schemas.openxmlformats.org/officeDocument/2006/relationships" name="Dated Cash Flows" sheetId="4" r:id="R706c4f0e21b4495d"/>
    <x:sheet xmlns:r="http://schemas.openxmlformats.org/officeDocument/2006/relationships" name="Read Me &amp; Sources" sheetId="5" r:id="R1f6b04594c3d44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;(#,##0);&quot;–&quot;"/>
    <x:numFmt numFmtId="201" formatCode="0.00"/>
    <x:numFmt numFmtId="202" formatCode="0.0%;(0.0%);&quot;–&quot;"/>
    <x:numFmt numFmtId="203" formatCode="mm/dd/yy"/>
    <x:numFmt numFmtId="204" formatCode="$#,##0;($#,##0);&quot;–&quot;"/>
    <x:numFmt numFmtId="205" formatCode="0.00;(0.00);0.00"/>
    <x:numFmt numFmtId="206" formatCode="0"/>
  </x:numFmts>
  <x:fonts count="18">
    <x:font>
      <x:sz val="11"/>
      <x:name val="Carlito"/>
    </x:font>
    <x:font>
      <x:sz val="11"/>
      <x:color rgb="FF172536"/>
      <x:name val="Arial"/>
    </x:font>
    <x:font>
      <x:b/>
      <x:sz val="16"/>
      <x:color rgb="FF20364C"/>
      <x:name val="Arial"/>
    </x:font>
    <x:font>
      <x:sz val="11"/>
      <x:color rgb="FF16734D"/>
      <x:name val="Arial"/>
    </x:font>
    <x:font>
      <x:sz val="11"/>
      <x:color rgb="FF1D4ED8"/>
      <x:name val="Arial"/>
    </x:font>
    <x:font>
      <x:i/>
      <x:sz val="11"/>
      <x:color rgb="FF566372"/>
      <x:name val="Arial"/>
    </x:font>
    <x:font>
      <x:b/>
      <x:sz val="11"/>
      <x:color rgb="FFFFFFFF"/>
      <x:name val="Arial"/>
    </x:font>
    <x:font>
      <x:sz val="11"/>
      <x:color rgb="FF111827"/>
      <x:name val="Arial"/>
    </x:font>
    <x:font>
      <x:sz val="11"/>
      <x:color rgb="FF566372"/>
      <x:name val="Arial"/>
    </x:font>
    <x:font>
      <x:sz val="11"/>
      <x:color rgb="FF111827"/>
      <x:name val="Carlito"/>
    </x:font>
    <x:font>
      <x:sz val="11"/>
      <x:color rgb="FF1D4ED8"/>
      <x:name val="Carlito"/>
    </x:font>
    <x:font>
      <x:sz val="11"/>
      <x:color rgb="FF566372"/>
      <x:name val="Carlito"/>
    </x:font>
    <x:font>
      <x:b/>
      <x:sz val="11"/>
      <x:color rgb="FFFFFFFF"/>
      <x:name val="Carlito"/>
    </x:font>
    <x:font>
      <x:b/>
      <x:sz val="11"/>
      <x:color rgb="FF172536"/>
      <x:name val="Arial"/>
    </x:font>
    <x:font>
      <x:b/>
      <x:sz val="11"/>
      <x:color rgb="FF111827"/>
      <x:name val="Arial"/>
    </x:font>
    <x:font>
      <x:i/>
      <x:sz val="11"/>
      <x:color rgb="FF172536"/>
      <x:name val="Arial"/>
    </x:font>
    <x:font>
      <x:i/>
      <x:sz val="11"/>
      <x:color rgb="FF111827"/>
      <x:name val="Arial"/>
    </x:font>
    <x:font>
      <x:sz val="11"/>
      <x:color rgb="FF20364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B"/>
      </x:patternFill>
    </x:fill>
    <x:fill>
      <x:patternFill patternType="solid">
        <x:fgColor rgb="FF20364C"/>
      </x:patternFill>
    </x:fill>
    <x:fill>
      <x:patternFill patternType="solid">
        <x:fgColor rgb="FFEDF1F5"/>
      </x:patternFill>
    </x:fill>
  </x:fills>
  <x:borders count="3">
    <x:border/>
    <x:border>
      <x:bottom style="thin">
        <x:color rgb="FF20364C"/>
      </x:bottom>
    </x:border>
    <x:border>
      <x:top style="thin">
        <x:color rgb="FFA9B2BB"/>
      </x:top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1" fontId="7" fillId="4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7" fillId="4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7" fillId="4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/>
    <x:xf numFmtId="0" fontId="0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right"/>
    </x:xf>
    <x:xf numFmtId="0" fontId="9" fillId="4" borderId="0" xfId="0" applyNumberFormat="1" applyFont="1" applyFill="1" applyBorder="1"/>
    <x:xf numFmtId="0" fontId="11" fillId="0" borderId="0" xfId="0" applyNumberFormat="1" applyFont="1" applyFill="1" applyBorder="1"/>
    <x:xf numFmtId="0" fontId="0" fillId="3" borderId="0" xfId="0" applyNumberFormat="1" applyFont="1" applyFill="1" applyBorder="1"/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203" fontId="10" fillId="2" borderId="0" xfId="0" applyNumberFormat="1" applyFont="1" applyFill="1" applyBorder="1"/>
    <x:xf numFmtId="200" fontId="10" fillId="2" borderId="0" xfId="0" applyNumberFormat="1" applyFont="1" applyFill="1" applyBorder="1"/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4" fillId="4" borderId="0" xfId="0" applyNumberFormat="1" applyFont="1" applyFill="1" applyBorder="1" applyAlignment="1">
      <x:alignment vertical="center"/>
    </x:xf>
    <x:xf numFmtId="204" fontId="13" fillId="4" borderId="0" xfId="0" applyNumberFormat="1" applyFont="1" applyFill="1" applyBorder="1" applyAlignment="1">
      <x:alignment vertical="center"/>
    </x:xf>
    <x:xf numFmtId="0" fontId="13" fillId="4" borderId="2" xfId="0" applyNumberFormat="1" applyFont="1" applyFill="1" applyBorder="1" applyAlignment="1">
      <x:alignment vertical="center"/>
    </x:xf>
    <x:xf numFmtId="204" fontId="14" fillId="4" borderId="2" xfId="0" applyNumberFormat="1" applyFont="1" applyFill="1" applyBorder="1" applyAlignment="1">
      <x:alignment vertical="center"/>
    </x:xf>
    <x:xf numFmtId="204" fontId="13" fillId="4" borderId="2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202" fontId="16" fillId="0" borderId="0" xfId="0" applyNumberFormat="1" applyFont="1" applyFill="1" applyBorder="1" applyAlignment="1">
      <x:alignment vertical="center"/>
    </x:xf>
    <x:xf numFmtId="202" fontId="15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 applyAlignment="1">
      <x:alignment vertical="center"/>
    </x:xf>
    <x:xf numFmtId="204" fontId="17" fillId="0" borderId="0" xfId="0" applyNumberFormat="1" applyFont="1" applyFill="1" applyBorder="1" applyAlignment="1">
      <x:alignment vertical="center"/>
    </x:xf>
    <x:xf numFmtId="202" fontId="17" fillId="0" borderId="0" xfId="0" applyNumberFormat="1" applyFont="1" applyFill="1" applyBorder="1" applyAlignment="1">
      <x:alignment vertical="center"/>
    </x:xf>
    <x:xf numFmtId="200" fontId="17" fillId="0" borderId="0" xfId="0" applyNumberFormat="1" applyFont="1" applyFill="1" applyBorder="1" applyAlignment="1">
      <x:alignment vertical="center"/>
    </x:xf>
    <x:xf numFmtId="203" fontId="17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color rgb="FF9B1C1C"/>
      </x:font>
      <x:fill>
        <x:patternFill patternType="solid">
          <x:bgColor rgb="FFFCE5E5"/>
        </x:patternFill>
      </x:fill>
    </x:dxf>
    <x:dxf>
      <x:font>
        <x:b/>
        <x:color rgb="FF9B1C1C"/>
      </x:font>
      <x:fill>
        <x:patternFill patternType="solid">
          <x:bgColor rgb="FFFCE5E5"/>
        </x:patternFill>
      </x:fill>
    </x:dxf>
    <x:dxf>
      <x:font>
        <x:color rgb="FF9B1C1C"/>
      </x:font>
      <x:fill>
        <x:patternFill patternType="solid">
          <x:bgColor rgb="FFFCE5E5"/>
        </x:patternFill>
      </x:fill>
    </x:dxf>
    <x:dxf>
      <x:font>
        <x:color rgb="FF9B1C1C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7ea718b5f41b0" /><Relationship Type="http://schemas.openxmlformats.org/officeDocument/2006/relationships/theme" Target="/xl/theme/theme1.xml" Id="R8361a57160f74fb7" /><Relationship Type="http://schemas.openxmlformats.org/officeDocument/2006/relationships/sharedStrings" Target="/xl/sharedStrings.xml" Id="R1d883de724dc4f6f" /><Relationship Type="http://schemas.openxmlformats.org/officeDocument/2006/relationships/worksheet" Target="/xl/worksheets/sheet1.xml" Id="R3736861c1fb34931" /><Relationship Type="http://schemas.openxmlformats.org/officeDocument/2006/relationships/worksheet" Target="/xl/worksheets/sheet2.xml" Id="R2a94e01a2cc24f35" /><Relationship Type="http://schemas.openxmlformats.org/officeDocument/2006/relationships/worksheet" Target="/xl/worksheets/sheet3.xml" Id="R936598d0d0914569" /><Relationship Type="http://schemas.openxmlformats.org/officeDocument/2006/relationships/worksheet" Target="/xl/worksheets/sheet4.xml" Id="R706c4f0e21b4495d" /><Relationship Type="http://schemas.openxmlformats.org/officeDocument/2006/relationships/worksheet" Target="/xl/worksheets/sheet5.xml" Id="R1f6b04594c3d44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WholesaleLink1" Type="http://schemas.openxmlformats.org/officeDocument/2006/relationships/hyperlink" Target="https://inflectioncfo.co/audit/" TargetMode="External" /></ns0:Relationships>
</file>

<file path=xl/worksheets/_rels/sheet5.xml.rels><?xml version='1.0' encoding='utf-8'?>
<ns0:Relationships xmlns:ns0="http://schemas.openxmlformats.org/package/2006/relationships"><ns0:Relationship Id="rIdWholesaleLink1" Type="http://schemas.openxmlformats.org/officeDocument/2006/relationships/hyperlink" Target="https://inflectioncfo.co/blog/dtc-wholesale-readiness-cash-flow/" TargetMode="External" /><ns0:Relationship Id="rIdWholesaleLink2" Type="http://schemas.openxmlformats.org/officeDocument/2006/relationships/hyperlink" Target="https://www.shopify.com/enterprise/blog/direct-to-consumer-vs-wholesale" TargetMode="External" /><ns0:Relationship Id="rIdWholesaleLink3" Type="http://schemas.openxmlformats.org/officeDocument/2006/relationships/hyperlink" Target="https://help.shopify.com/en/manual/b2b/checkout-and-orders/payment-methods" TargetMode="External" /><ns0:Relationship Id="rIdWholesaleLink4" Type="http://schemas.openxmlformats.org/officeDocument/2006/relationships/hyperlink" Target="https://openstax.org/books/principles-managerial-accounting/pages/3-1-explain-contribution-margin-and-calculate-contribution-margin-per-unit-contribution-margin-ratio-and-total-contribution-margin" TargetMode="External" /><ns0:Relationship Id="rIdWholesaleLink5" Type="http://schemas.openxmlformats.org/officeDocument/2006/relationships/hyperlink" Target="https://business.gov.au/finance/cash-flow/set-up-a-cash-flow-statemen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0364C"/>
  </sheetPr>
  <sheetViews>
    <sheetView showGridLines="0" workbookViewId="0"/>
  </sheetViews>
  <sheetFormatPr defaultRowHeight="15"/>
  <cols>
    <col min="1" max="1" width="3" hidden="0" customWidth="1"/>
    <col min="2" max="2" width="40" hidden="0" customWidth="1"/>
    <col min="3" max="3" width="20" hidden="0" customWidth="1"/>
    <col min="4" max="4" width="20" hidden="0" customWidth="1"/>
    <col min="5" max="5" width="20" hidden="0" customWidth="1"/>
    <col min="6" max="6" width="3" hidden="0" customWidth="1"/>
    <col min="7" max="7" width="18" hidden="0" customWidth="1"/>
    <col min="8" max="8" width="18" hidden="0" customWidth="1"/>
    <col min="9" max="9" width="18" hidden="0" customWidth="1"/>
    <col min="10" max="10" width="18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3" customHeight="1">
      <c r="A2" s="2"/>
      <c r="B2" s="3" t="str">
        <v>Wholesale order decision</v>
      </c>
      <c r="C2" s="2"/>
      <c r="D2" s="2"/>
      <c r="E2" s="2"/>
      <c r="F2" s="2"/>
      <c r="G2" s="2"/>
      <c r="H2" s="2"/>
      <c r="I2" s="2"/>
      <c r="J2" s="2"/>
    </row>
    <row r="3" ht="23" customHeight="1">
      <c r="A3" s="2"/>
      <c r="B3" s="4"/>
      <c r="C3" s="4"/>
      <c r="D3" s="4"/>
      <c r="E3" s="4"/>
      <c r="F3" s="4"/>
      <c r="G3" s="4"/>
      <c r="H3" s="4"/>
      <c r="I3" s="4"/>
      <c r="J3" s="4"/>
    </row>
    <row r="4" ht="23" customHeight="1">
      <c r="A4" s="2"/>
      <c r="B4" s="2" t="str">
        <v>Mode selected</v>
      </c>
      <c r="C4" s="5" t="str">
        <f>'Inputs'!C4</f>
        <v>Fictional example</v>
      </c>
      <c r="D4" s="5"/>
      <c r="E4" s="5"/>
      <c r="F4" s="2"/>
      <c r="G4" s="2"/>
      <c r="H4" s="2"/>
      <c r="I4" s="2"/>
      <c r="J4" s="2"/>
    </row>
    <row r="5" ht="23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ht="23" customHeight="1">
      <c r="A6" s="2"/>
      <c r="B6" s="2" t="str">
        <v>Review economics, funding and protected DTC commitments together.</v>
      </c>
      <c r="C6" s="2"/>
      <c r="D6" s="2"/>
      <c r="E6" s="2"/>
      <c r="F6" s="2"/>
      <c r="G6" s="2"/>
      <c r="H6" s="2"/>
      <c r="I6" s="2"/>
      <c r="J6" s="2"/>
    </row>
    <row r="7" ht="23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23" customHeight="1">
      <c r="A8" s="2"/>
      <c r="B8" s="10" t="str">
        <v>Decision measures</v>
      </c>
      <c r="C8" s="10" t="str">
        <v>Result</v>
      </c>
      <c r="D8" s="10"/>
      <c r="E8" s="10" t="str">
        <v>What it means</v>
      </c>
      <c r="F8" s="2"/>
      <c r="G8" s="2"/>
      <c r="H8" s="2"/>
      <c r="I8" s="2"/>
      <c r="J8" s="2"/>
    </row>
    <row r="9" ht="23" customHeight="1">
      <c r="A9" s="2"/>
      <c r="B9" s="2" t="str">
        <v>DTC contribution</v>
      </c>
      <c r="C9" s="64" t="n">
        <f>'Channel Contribution'!C23</f>
        <v>28000</v>
      </c>
      <c r="D9" s="2"/>
      <c r="E9" s="2" t="str">
        <v>Before fixed costs and financing</v>
      </c>
      <c r="F9" s="2"/>
      <c r="G9" s="2"/>
      <c r="H9" s="2"/>
      <c r="I9" s="2"/>
      <c r="J9" s="2"/>
    </row>
    <row r="10" ht="23" customHeight="1">
      <c r="A10" s="2"/>
      <c r="B10" s="2" t="str">
        <v>Wholesale contribution</v>
      </c>
      <c r="C10" s="64" t="n">
        <f>'Channel Contribution'!E23</f>
        <v>22125</v>
      </c>
      <c r="D10" s="2"/>
      <c r="E10" s="2" t="str">
        <v>Dollars after variable costs</v>
      </c>
      <c r="F10" s="2"/>
      <c r="G10" s="2"/>
      <c r="H10" s="2"/>
      <c r="I10" s="2"/>
      <c r="J10" s="2"/>
    </row>
    <row r="11" ht="23" customHeight="1">
      <c r="A11" s="2"/>
      <c r="B11" s="2" t="str">
        <v>Wholesale contribution margin</v>
      </c>
      <c r="C11" s="65" t="n">
        <f>'Channel Contribution'!E24</f>
        <v>0.46578947368421053</v>
      </c>
      <c r="D11" s="2"/>
      <c r="E11" s="2" t="str">
        <v>Net-sales denominator; zero sales = n.a.</v>
      </c>
      <c r="F11" s="2"/>
      <c r="G11" s="2"/>
      <c r="H11" s="2"/>
      <c r="I11" s="2"/>
      <c r="J11" s="2"/>
    </row>
    <row r="12" ht="23" customHeight="1">
      <c r="A12" s="2"/>
      <c r="B12" s="2" t="str">
        <v>Peak order cash outlay</v>
      </c>
      <c r="C12" s="64" t="n">
        <f>'Dated Cash Flows'!H8</f>
        <v>23000</v>
      </c>
      <c r="D12" s="2"/>
      <c r="E12" s="2" t="str">
        <v>Order cash only; excludes separate company rows</v>
      </c>
      <c r="F12" s="2"/>
      <c r="G12" s="2"/>
      <c r="H12" s="2"/>
      <c r="I12" s="2"/>
      <c r="J12" s="2"/>
    </row>
    <row r="13" ht="23" customHeight="1">
      <c r="A13" s="2"/>
      <c r="B13" s="2" t="str">
        <v>Supplier deposit to collection</v>
      </c>
      <c r="C13" s="66" t="n">
        <f>'Dated Cash Flows'!L8</f>
        <v>120</v>
      </c>
      <c r="D13" s="2"/>
      <c r="E13" s="2" t="str">
        <v>Calendar days; margin does not set timing</v>
      </c>
      <c r="F13" s="2"/>
      <c r="G13" s="2"/>
      <c r="H13" s="2"/>
      <c r="I13" s="2"/>
      <c r="J13" s="2"/>
    </row>
    <row r="14" ht="23" customHeight="1">
      <c r="A14" s="2"/>
      <c r="B14" s="2" t="str">
        <v>Days with negative order cash</v>
      </c>
      <c r="C14" s="66" t="n">
        <f>'Dated Cash Flows'!J58</f>
        <v>120</v>
      </c>
      <c r="D14" s="2"/>
      <c r="E14" s="2" t="str">
        <v>Can extend after collection if costs continue</v>
      </c>
      <c r="F14" s="2"/>
      <c r="G14" s="2"/>
      <c r="H14" s="2"/>
      <c r="I14" s="2"/>
      <c r="J14" s="2"/>
    </row>
    <row r="15" ht="23" customHeight="1">
      <c r="A15" s="2"/>
      <c r="B15" s="2" t="str">
        <v>Lowest company cash</v>
      </c>
      <c r="C15" s="64" t="n">
        <f>'Dated Cash Flows'!L9</f>
        <v>57000</v>
      </c>
      <c r="D15" s="2"/>
      <c r="E15" s="2" t="str">
        <v>Opening cash plus order and separate company flows</v>
      </c>
      <c r="F15" s="2"/>
      <c r="G15" s="2"/>
      <c r="H15" s="2"/>
      <c r="I15" s="2"/>
      <c r="J15" s="2"/>
    </row>
    <row r="16" ht="23" customHeight="1">
      <c r="A16" s="2"/>
      <c r="B16" s="2" t="str">
        <v>Reserve shortfall</v>
      </c>
      <c r="C16" s="64" t="n">
        <f>'Dated Cash Flows'!J60</f>
        <v>0</v>
      </c>
      <c r="D16" s="2"/>
      <c r="E16" s="2" t="str">
        <v>Largest gap to your entered reserve</v>
      </c>
      <c r="F16" s="2"/>
      <c r="G16" s="2"/>
      <c r="H16" s="2"/>
      <c r="I16" s="2"/>
      <c r="J16" s="2"/>
    </row>
    <row r="17" ht="23" customHeight="1">
      <c r="A17" s="2"/>
      <c r="B17" s="2" t="str">
        <v>First reserve shortfall date</v>
      </c>
      <c r="C17" s="67" t="str">
        <f>'Dated Cash Flows'!E58</f>
        <v>None in horizon</v>
      </c>
      <c r="D17" s="2"/>
      <c r="E17" s="2" t="str">
        <v>None means no daily breach in the modeled horizon</v>
      </c>
      <c r="F17" s="2"/>
      <c r="G17" s="2"/>
      <c r="H17" s="2"/>
      <c r="I17" s="2"/>
      <c r="J17" s="2"/>
    </row>
    <row r="18" ht="23" customHeight="1">
      <c r="A18" s="2"/>
      <c r="B18" s="2" t="str">
        <v>Final order cash</v>
      </c>
      <c r="C18" s="64" t="n">
        <f>'Dated Cash Flows'!H9</f>
        <v>22125</v>
      </c>
      <c r="D18" s="2"/>
      <c r="E18" s="2" t="str">
        <v>After all entered order cash commitments</v>
      </c>
      <c r="F18" s="2"/>
      <c r="G18" s="2"/>
      <c r="H18" s="2"/>
      <c r="I18" s="2"/>
      <c r="J18" s="2"/>
    </row>
    <row r="19" ht="23" customHeight="1">
      <c r="A19" s="2"/>
      <c r="B19" s="2" t="str">
        <v>Forecast ending date</v>
      </c>
      <c r="C19" s="67" t="n">
        <f>'Dated Cash Flows'!D9</f>
        <v>46466</v>
      </c>
      <c r="D19" s="2"/>
      <c r="E19" s="2" t="str">
        <v>Auto-extends through collection and replenishment</v>
      </c>
      <c r="F19" s="2"/>
      <c r="G19" s="2"/>
      <c r="H19" s="2"/>
      <c r="I19" s="2"/>
      <c r="J19" s="2"/>
    </row>
    <row r="20" ht="23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32" customHeight="1">
      <c r="A21" s="2"/>
      <c r="B21" s="2" t="str">
        <v>Economics inputs</v>
      </c>
      <c r="C21" s="59" t="str">
        <f>'Channel Contribution'!E6</f>
        <v>Complete</v>
      </c>
      <c r="D21" s="62"/>
      <c r="E21" s="62"/>
      <c r="F21" s="2"/>
      <c r="G21" s="2"/>
      <c r="H21" s="2"/>
      <c r="I21" s="2"/>
      <c r="J21" s="2"/>
    </row>
    <row r="22" ht="32" customHeight="1">
      <c r="A22" s="2"/>
      <c r="B22" s="2" t="str">
        <v>Order timing inputs</v>
      </c>
      <c r="C22" s="59" t="str">
        <f>'Dated Cash Flows'!D6</f>
        <v>Complete</v>
      </c>
      <c r="D22" s="62"/>
      <c r="E22" s="62"/>
      <c r="F22" s="2"/>
      <c r="G22" s="2"/>
      <c r="H22" s="2"/>
      <c r="I22" s="2"/>
      <c r="J22" s="2"/>
    </row>
    <row r="23" ht="32" customHeight="1">
      <c r="A23" s="2"/>
      <c r="B23" s="2" t="str">
        <v>Company forecast inputs</v>
      </c>
      <c r="C23" s="59" t="str">
        <f>'Dated Cash Flows'!I6</f>
        <v>Complete</v>
      </c>
      <c r="D23" s="62"/>
      <c r="E23" s="62"/>
      <c r="F23" s="2"/>
      <c r="G23" s="2"/>
      <c r="H23" s="2"/>
      <c r="I23" s="2"/>
      <c r="J23" s="2"/>
    </row>
    <row r="24" ht="23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23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25" customHeight="1">
      <c r="A26" s="2"/>
      <c r="B26" s="10" t="str">
        <v>Decision record</v>
      </c>
      <c r="C26" s="10"/>
      <c r="D26" s="10"/>
      <c r="E26" s="10"/>
      <c r="F26" s="10"/>
      <c r="G26" s="10"/>
      <c r="H26" s="10"/>
      <c r="I26" s="10"/>
      <c r="J26" s="10"/>
    </row>
    <row r="27" ht="23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23" customHeight="1">
      <c r="A28" s="2"/>
      <c r="B28" s="2" t="str">
        <v>Decision</v>
      </c>
      <c r="C28" s="7"/>
      <c r="D28" s="7"/>
      <c r="E28" s="7"/>
      <c r="F28" s="2"/>
      <c r="G28" s="2"/>
      <c r="H28" s="2"/>
      <c r="I28" s="2"/>
      <c r="J28" s="2"/>
    </row>
    <row r="29" ht="23" customHeight="1">
      <c r="A29" s="2"/>
      <c r="B29" s="2" t="str">
        <v>Decision owner</v>
      </c>
      <c r="C29" s="7"/>
      <c r="D29" s="7"/>
      <c r="E29" s="7"/>
      <c r="F29" s="2"/>
      <c r="G29" s="2"/>
      <c r="H29" s="2"/>
      <c r="I29" s="2"/>
      <c r="J29" s="2"/>
    </row>
    <row r="30" ht="23" customHeight="1">
      <c r="A30" s="2"/>
      <c r="B30" s="2" t="str">
        <v>Review / decision date</v>
      </c>
      <c r="C30" s="68"/>
      <c r="D30" s="7"/>
      <c r="E30" s="7"/>
      <c r="F30" s="2"/>
      <c r="G30" s="2"/>
      <c r="H30" s="2"/>
      <c r="I30" s="2"/>
      <c r="J30" s="2"/>
    </row>
    <row r="31" ht="23" customHeight="1">
      <c r="A31" s="2"/>
      <c r="B31" s="2" t="str">
        <v>Reason and conditions</v>
      </c>
      <c r="C31" s="7"/>
      <c r="D31" s="7"/>
      <c r="E31" s="7"/>
      <c r="F31" s="2"/>
      <c r="G31" s="2"/>
      <c r="H31" s="2"/>
      <c r="I31" s="2"/>
      <c r="J31" s="2"/>
    </row>
    <row r="32" ht="23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23" customHeight="1">
      <c r="A33" s="2"/>
      <c r="B33" s="2" t="str">
        <v>No automatic accept recommendation. Complete the evidence and record your decision.</v>
      </c>
      <c r="C33" s="2"/>
      <c r="D33" s="2"/>
      <c r="E33" s="2"/>
      <c r="F33" s="2"/>
      <c r="G33" s="2"/>
      <c r="H33" s="2"/>
      <c r="I33" s="2"/>
      <c r="J33" s="2"/>
    </row>
    <row r="34" ht="23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32" customHeight="1">
      <c r="A35" s="2"/>
      <c r="B35" s="11" t="str">
        <v>Review area</v>
      </c>
      <c r="C35" s="11" t="str">
        <v>Status</v>
      </c>
      <c r="D35" s="11" t="str">
        <v>Owner</v>
      </c>
      <c r="E35" s="11" t="str">
        <v>Review date</v>
      </c>
      <c r="F35" s="2"/>
      <c r="G35" s="10" t="str">
        <v>Evidence / issue</v>
      </c>
      <c r="H35" s="10"/>
      <c r="I35" s="10"/>
      <c r="J35" s="10"/>
    </row>
    <row r="36" ht="30" customHeight="1">
      <c r="A36" s="2"/>
      <c r="B36" s="2" t="str">
        <v>Price, costs and return rights</v>
      </c>
      <c r="C36" s="7" t="str">
        <v>Unresolved</v>
      </c>
      <c r="D36" s="7"/>
      <c r="E36" s="68"/>
      <c r="F36" s="2"/>
      <c r="G36" s="7"/>
      <c r="H36" s="7"/>
      <c r="I36" s="7"/>
      <c r="J36" s="7"/>
    </row>
    <row r="37" ht="30" customHeight="1">
      <c r="A37" s="2"/>
      <c r="B37" s="2" t="str">
        <v>Signed payment trigger and terms</v>
      </c>
      <c r="C37" s="7" t="str">
        <v>Unresolved</v>
      </c>
      <c r="D37" s="7"/>
      <c r="E37" s="68"/>
      <c r="F37" s="2"/>
      <c r="G37" s="7"/>
      <c r="H37" s="7"/>
      <c r="I37" s="7"/>
      <c r="J37" s="7"/>
    </row>
    <row r="38" ht="30" customHeight="1">
      <c r="A38" s="2"/>
      <c r="B38" s="2" t="str">
        <v>Protected DTC stock and capacity</v>
      </c>
      <c r="C38" s="7" t="str">
        <v>Unresolved</v>
      </c>
      <c r="D38" s="7"/>
      <c r="E38" s="68"/>
      <c r="F38" s="2"/>
      <c r="G38" s="7"/>
      <c r="H38" s="7"/>
      <c r="I38" s="7"/>
      <c r="J38" s="7"/>
    </row>
    <row r="39" ht="30" customHeight="1">
      <c r="A39" s="2"/>
      <c r="B39" s="2" t="str">
        <v>Downside and funding plan</v>
      </c>
      <c r="C39" s="7" t="str">
        <v>Unresolved</v>
      </c>
      <c r="D39" s="7"/>
      <c r="E39" s="68"/>
      <c r="F39" s="2"/>
      <c r="G39" s="7"/>
      <c r="H39" s="7"/>
      <c r="I39" s="7"/>
      <c r="J39" s="7"/>
    </row>
    <row r="40" ht="30" customHeight="1">
      <c r="A40" s="2"/>
      <c r="B40" s="2" t="str">
        <v>Forecast and duplicate payments</v>
      </c>
      <c r="C40" s="7" t="str">
        <v>Unresolved</v>
      </c>
      <c r="D40" s="7"/>
      <c r="E40" s="68"/>
      <c r="F40" s="2"/>
      <c r="G40" s="7"/>
      <c r="H40" s="7"/>
      <c r="I40" s="7"/>
      <c r="J40" s="7"/>
    </row>
    <row r="41" ht="23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23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23" customHeight="1">
      <c r="A43" s="2"/>
      <c r="B43" s="2" t="str">
        <v>Discuss one order, cash-timing question or missing input.</v>
      </c>
      <c r="C43" s="2"/>
      <c r="D43" s="2"/>
      <c r="E43" s="2"/>
      <c r="F43" s="2"/>
      <c r="G43" s="2"/>
      <c r="H43" s="2"/>
      <c r="I43" s="2"/>
      <c r="J43" s="2"/>
    </row>
    <row r="44" ht="23" customHeight="1">
      <c r="A44" s="2"/>
      <c r="B44" s="69" t="str">
        <v>Request a free 30-minute financial assessment</v>
      </c>
      <c r="C44" s="2"/>
      <c r="D44" s="2"/>
      <c r="E44" s="2"/>
      <c r="F44" s="2"/>
      <c r="G44" s="2"/>
      <c r="H44" s="2"/>
      <c r="I44" s="2"/>
      <c r="J44" s="2"/>
    </row>
    <row r="45" ht="23" customHeight="1">
      <c r="A45" s="2"/>
      <c r="B45" s="2" t="str">
        <v>Initial diagnostic conversation. Full model work requires separately agreed scope.</v>
      </c>
      <c r="C45" s="2"/>
      <c r="D45" s="2"/>
      <c r="E45" s="2"/>
      <c r="F45" s="2"/>
      <c r="G45" s="2"/>
      <c r="H45" s="2"/>
      <c r="I45" s="2"/>
      <c r="J45" s="2"/>
    </row>
    <row r="46" ht="23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23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ht="23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23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ht="23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</sheetData>
  <conditionalFormatting sqref="C21:C23">
    <cfRule type="notContainsText" dxfId="3" priority="1" text="Complete"/>
  </conditionalFormatting>
  <dataValidations count="6">
    <dataValidation type="list" sqref="C28">
      <formula1>"Proceed,Renegotiate,Pilot,Defer"</formula1>
    </dataValidation>
    <dataValidation type="list" sqref="C36">
      <formula1>"Unresolved,Confirmed,Not applicable"</formula1>
    </dataValidation>
    <dataValidation type="list" sqref="C37">
      <formula1>"Unresolved,Confirmed,Not applicable"</formula1>
    </dataValidation>
    <dataValidation type="list" sqref="C38">
      <formula1>"Unresolved,Confirmed,Not applicable"</formula1>
    </dataValidation>
    <dataValidation type="list" sqref="C39">
      <formula1>"Unresolved,Confirmed,Not applicable"</formula1>
    </dataValidation>
    <dataValidation type="list" sqref="C40">
      <formula1>"Unresolved,Confirmed,Not applicable"</formula1>
    </dataValidation>
  </dataValidations>
  <hyperlinks>
    <hyperlink ref="B44" r:id="rIdWholesaleLink1"/>
  </hyperlinks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Pr>
    <x:tabColor rgb="FF637E9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9" hidden="0" customWidth="1"/>
    <x:col min="4" max="4" width="19" hidden="0" customWidth="1"/>
    <x:col min="5" max="5" width="19" hidden="0" customWidth="1"/>
    <x:col min="6" max="6" width="20" hidden="0" customWidth="1"/>
    <x:col min="7" max="7" width="39" hidden="0" customWidth="1"/>
    <x:col min="8" max="8" width="43" hidden="0" customWidth="1"/>
    <x:col min="9" max="9" width="19" hidden="0" customWidth="1"/>
    <x:col min="10" max="10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2"/>
      <x:c r="B2" s="3" t="str">
        <x:v>Inputs</x:v>
      </x:c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/>
      <x:c r="B4" s="2" t="str">
        <x:v>Mode selected</x:v>
      </x:c>
      <x:c r="C4" s="7" t="str">
        <x:v>Fictional example</x:v>
      </x:c>
      <x:c r="D4" s="5"/>
      <x:c r="E4" s="5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/>
      <x:c r="B6" s="8" t="str">
        <x:v>Edit blue cells. Switch to Your order for empty input fields.</x:v>
      </x:c>
      <x:c r="C6" s="8"/>
      <x:c r="D6" s="8"/>
      <x:c r="E6" s="8"/>
      <x:c r="F6" s="8"/>
      <x:c r="G6" s="8"/>
      <x:c r="H6" s="8"/>
      <x:c r="I6" s="2"/>
      <x:c r="J6" s="2"/>
    </x:row>
    <x:row r="7" ht="23" customHeight="1">
      <x:c r="A7" s="2"/>
      <x:c r="B7" s="8" t="str">
        <x:v>Zero is an assumption. Blank means missing. Amounts are USD.</x:v>
      </x:c>
      <x:c r="C7" s="8"/>
      <x:c r="D7" s="8"/>
      <x:c r="E7" s="8"/>
      <x:c r="F7" s="8"/>
      <x:c r="G7" s="8"/>
      <x:c r="H7" s="8"/>
      <x:c r="I7" s="2"/>
      <x:c r="J7" s="2"/>
    </x:row>
    <x:row r="8" ht="32" customHeight="1">
      <x:c r="A8" s="2"/>
      <x:c r="B8" s="11" t="str">
        <x:v>Driver</x:v>
      </x:c>
      <x:c r="C8" s="11" t="str">
        <x:v>Active value</x:v>
      </x:c>
      <x:c r="D8" s="11" t="str">
        <x:v>Fictional example</x:v>
      </x:c>
      <x:c r="E8" s="11" t="str">
        <x:v>Your order</x:v>
      </x:c>
      <x:c r="F8" s="11" t="str">
        <x:v>Unit</x:v>
      </x:c>
      <x:c r="G8" s="11" t="str">
        <x:v>Evidence / source to confirm</x:v>
      </x:c>
      <x:c r="H8" s="11" t="str">
        <x:v>Source / owner / issue</x:v>
      </x:c>
      <x:c r="I8" s="2"/>
      <x:c r="J8" s="2"/>
    </x:row>
    <x:row r="9" ht="25" customHeight="1">
      <x:c r="A9" s="2"/>
      <x:c r="B9" s="10" t="str">
        <x:v>DTC contribution assumptions</x:v>
      </x:c>
      <x:c r="C9" s="10"/>
      <x:c r="D9" s="10"/>
      <x:c r="E9" s="10"/>
      <x:c r="F9" s="10"/>
      <x:c r="G9" s="10"/>
      <x:c r="H9" s="10"/>
      <x:c r="I9" s="2"/>
      <x:c r="J9" s="2"/>
    </x:row>
    <x:row r="10" ht="23" customHeight="1">
      <x:c r="A10" s="2"/>
      <x:c r="B10" s="2" t="str">
        <x:v>Ordered units</x:v>
      </x:c>
      <x:c r="C10" s="17" t="n">
        <x:f>IF($C$4="Fictional example",IF(LEN(D10&amp;"")=0,"Missing",D10),IF($C$4="Your order",IF(LEN(E10&amp;"")=0,"Missing",E10),"Invalid mode"))</x:f>
        <x:v>1000</x:v>
      </x:c>
      <x:c r="D10" s="18" t="n">
        <x:v>1000</x:v>
      </x:c>
      <x:c r="E10" s="18"/>
      <x:c r="F10" s="2" t="str">
        <x:v>units</x:v>
      </x:c>
      <x:c r="G10" s="16" t="str">
        <x:v>Purchase order</x:v>
      </x:c>
      <x:c r="H10" s="7"/>
      <x:c r="I10" s="2"/>
      <x:c r="J10" s="2"/>
    </x:row>
    <x:row r="11" ht="23" customHeight="1">
      <x:c r="A11" s="2"/>
      <x:c r="B11" s="2" t="str">
        <x:v>DTC gross selling price</x:v>
      </x:c>
      <x:c r="C11" s="19" t="n">
        <x:f>IF($C$4="Fictional example",IF(LEN(D11&amp;"")=0,"Missing",D11),IF($C$4="Your order",IF(LEN(E11&amp;"")=0,"Missing",E11),"Invalid mode"))</x:f>
        <x:v>100</x:v>
      </x:c>
      <x:c r="D11" s="20" t="n">
        <x:v>100</x:v>
      </x:c>
      <x:c r="E11" s="20"/>
      <x:c r="F11" s="2" t="str">
        <x:v>USD / unit</x:v>
      </x:c>
      <x:c r="G11" s="16" t="str">
        <x:v>Comparable direct-channel price</x:v>
      </x:c>
      <x:c r="H11" s="7"/>
      <x:c r="I11" s="2"/>
      <x:c r="J11" s="2"/>
    </x:row>
    <x:row r="12" ht="23" customHeight="1">
      <x:c r="A12" s="2"/>
      <x:c r="B12" s="2" t="str">
        <x:v>DTC discounts and refunds</x:v>
      </x:c>
      <x:c r="C12" s="21" t="n">
        <x:f>IF($C$4="Fictional example",IF(LEN(D12&amp;"")=0,"Missing",D12),IF($C$4="Your order",IF(LEN(E12&amp;"")=0,"Missing",E12),"Invalid mode"))</x:f>
        <x:v>0.1</x:v>
      </x:c>
      <x:c r="D12" s="22" t="n">
        <x:v>0.1</x:v>
      </x:c>
      <x:c r="E12" s="22"/>
      <x:c r="F12" s="2" t="str">
        <x:v>% of gross</x:v>
      </x:c>
      <x:c r="G12" s="16" t="str">
        <x:v>Discounts and refunds counted once</x:v>
      </x:c>
      <x:c r="H12" s="7"/>
      <x:c r="I12" s="2"/>
      <x:c r="J12" s="2"/>
    </x:row>
    <x:row r="13" ht="23" customHeight="1">
      <x:c r="A13" s="2"/>
      <x:c r="B13" s="2" t="str">
        <x:v>DTC product cost</x:v>
      </x:c>
      <x:c r="C13" s="19" t="n">
        <x:f>IF($C$4="Fictional example",IF(LEN(D13&amp;"")=0,"Missing",D13),IF($C$4="Your order",IF(LEN(E13&amp;"")=0,"Missing",E13),"Invalid mode"))</x:f>
        <x:v>20</x:v>
      </x:c>
      <x:c r="D13" s="20" t="n">
        <x:v>20</x:v>
      </x:c>
      <x:c r="E13" s="20"/>
      <x:c r="F13" s="2" t="str">
        <x:v>USD / unit</x:v>
      </x:c>
      <x:c r="G13" s="16" t="str">
        <x:v>No inventory recovered from returns</x:v>
      </x:c>
      <x:c r="H13" s="7"/>
      <x:c r="I13" s="2"/>
      <x:c r="J13" s="2"/>
    </x:row>
    <x:row r="14" ht="23" customHeight="1">
      <x:c r="A14" s="2"/>
      <x:c r="B14" s="2" t="str">
        <x:v>DTC outbound freight</x:v>
      </x:c>
      <x:c r="C14" s="17" t="n">
        <x:f>IF($C$4="Fictional example",IF(LEN(D14&amp;"")=0,"Missing",D14),IF($C$4="Your order",IF(LEN(E14&amp;"")=0,"Missing",E14),"Invalid mode"))</x:f>
        <x:v>9000</x:v>
      </x:c>
      <x:c r="D14" s="18" t="n">
        <x:v>9000</x:v>
      </x:c>
      <x:c r="E14" s="18"/>
      <x:c r="F14" s="2" t="str">
        <x:v>USD</x:v>
      </x:c>
      <x:c r="G14" s="16" t="str">
        <x:v>Variable shipping for these units</x:v>
      </x:c>
      <x:c r="H14" s="7"/>
      <x:c r="I14" s="2"/>
      <x:c r="J14" s="2"/>
    </x:row>
    <x:row r="15" ht="23" customHeight="1">
      <x:c r="A15" s="2"/>
      <x:c r="B15" s="2" t="str">
        <x:v>DTC separate fulfillment</x:v>
      </x:c>
      <x:c r="C15" s="17" t="n">
        <x:f>IF($C$4="Fictional example",IF(LEN(D15&amp;"")=0,"Missing",D15),IF($C$4="Your order",IF(LEN(E15&amp;"")=0,"Missing",E15),"Invalid mode"))</x:f>
        <x:v>3000</x:v>
      </x:c>
      <x:c r="D15" s="18" t="n">
        <x:v>3000</x:v>
      </x:c>
      <x:c r="E15" s="18"/>
      <x:c r="F15" s="2" t="str">
        <x:v>USD</x:v>
      </x:c>
      <x:c r="G15" s="16" t="str">
        <x:v>Exclude costs already in freight</x:v>
      </x:c>
      <x:c r="H15" s="7"/>
      <x:c r="I15" s="2"/>
      <x:c r="J15" s="2"/>
    </x:row>
    <x:row r="16" ht="23" customHeight="1">
      <x:c r="A16" s="2"/>
      <x:c r="B16" s="2" t="str">
        <x:v>DTC payment fees</x:v>
      </x:c>
      <x:c r="C16" s="17" t="n">
        <x:f>IF($C$4="Fictional example",IF(LEN(D16&amp;"")=0,"Missing",D16),IF($C$4="Your order",IF(LEN(E16&amp;"")=0,"Missing",E16),"Invalid mode"))</x:f>
        <x:v>3000</x:v>
      </x:c>
      <x:c r="D16" s="18" t="n">
        <x:v>3000</x:v>
      </x:c>
      <x:c r="E16" s="18"/>
      <x:c r="F16" s="2" t="str">
        <x:v>USD</x:v>
      </x:c>
      <x:c r="G16" s="16" t="str">
        <x:v>Variable payment fees</x:v>
      </x:c>
      <x:c r="H16" s="7"/>
      <x:c r="I16" s="2"/>
      <x:c r="J16" s="2"/>
    </x:row>
    <x:row r="17" ht="23" customHeight="1">
      <x:c r="A17" s="2"/>
      <x:c r="B17" s="2" t="str">
        <x:v>DTC returns processing</x:v>
      </x:c>
      <x:c r="C17" s="17" t="n">
        <x:f>IF($C$4="Fictional example",IF(LEN(D17&amp;"")=0,"Missing",D17),IF($C$4="Your order",IF(LEN(E17&amp;"")=0,"Missing",E17),"Invalid mode"))</x:f>
        <x:v>2000</x:v>
      </x:c>
      <x:c r="D17" s="18" t="n">
        <x:v>2000</x:v>
      </x:c>
      <x:c r="E17" s="18"/>
      <x:c r="F17" s="2" t="str">
        <x:v>USD</x:v>
      </x:c>
      <x:c r="G17" s="16" t="str">
        <x:v>Handling only; refunds above</x:v>
      </x:c>
      <x:c r="H17" s="7"/>
      <x:c r="I17" s="2"/>
      <x:c r="J17" s="2"/>
    </x:row>
    <x:row r="18" ht="23" customHeight="1">
      <x:c r="A18" s="2"/>
      <x:c r="B18" s="2" t="str">
        <x:v>DTC acquisition expense</x:v>
      </x:c>
      <x:c r="C18" s="17" t="n">
        <x:f>IF($C$4="Fictional example",IF(LEN(D18&amp;"")=0,"Missing",D18),IF($C$4="Your order",IF(LEN(E18&amp;"")=0,"Missing",E18),"Invalid mode"))</x:f>
        <x:v>25000</x:v>
      </x:c>
      <x:c r="D18" s="18" t="n">
        <x:v>25000</x:v>
      </x:c>
      <x:c r="E18" s="18"/>
      <x:c r="F18" s="2" t="str">
        <x:v>USD</x:v>
      </x:c>
      <x:c r="G18" s="16" t="str">
        <x:v>Attributable variable acquisition</x:v>
      </x:c>
      <x:c r="H18" s="7"/>
      <x:c r="I18" s="2"/>
      <x:c r="J18" s="2"/>
    </x:row>
    <x:row r="19" ht="25" customHeight="1">
      <x:c r="A19" s="2"/>
      <x:c r="B19" s="10" t="str">
        <x:v>Wholesale contribution assumptions</x:v>
      </x:c>
      <x:c r="C19" s="10"/>
      <x:c r="D19" s="10"/>
      <x:c r="E19" s="10"/>
      <x:c r="F19" s="10"/>
      <x:c r="G19" s="10"/>
      <x:c r="H19" s="10"/>
      <x:c r="I19" s="2"/>
      <x:c r="J19" s="2"/>
    </x:row>
    <x:row r="20" ht="23" customHeight="1">
      <x:c r="A20" s="2"/>
      <x:c r="B20" s="2" t="str">
        <x:v>Wholesale gross selling price</x:v>
      </x:c>
      <x:c r="C20" s="19" t="n">
        <x:f>IF($C$4="Fictional example",IF(LEN(D20&amp;"")=0,"Missing",D20),IF($C$4="Your order",IF(LEN(E20&amp;"")=0,"Missing",E20),"Invalid mode"))</x:f>
        <x:v>50</x:v>
      </x:c>
      <x:c r="D20" s="20" t="n">
        <x:v>50</x:v>
      </x:c>
      <x:c r="E20" s="20"/>
      <x:c r="F20" s="2" t="str">
        <x:v>USD / unit</x:v>
      </x:c>
      <x:c r="G20" s="16" t="str">
        <x:v>Agreed wholesale price</x:v>
      </x:c>
      <x:c r="H20" s="7"/>
      <x:c r="I20" s="2"/>
      <x:c r="J20" s="2"/>
    </x:row>
    <x:row r="21" ht="23" customHeight="1">
      <x:c r="A21" s="2"/>
      <x:c r="B21" s="2" t="str">
        <x:v>Wholesale credits and allowances</x:v>
      </x:c>
      <x:c r="C21" s="21" t="n">
        <x:f>IF($C$4="Fictional example",IF(LEN(D21&amp;"")=0,"Missing",D21),IF($C$4="Your order",IF(LEN(E21&amp;"")=0,"Missing",E21),"Invalid mode"))</x:f>
        <x:v>0.05</x:v>
      </x:c>
      <x:c r="D21" s="22" t="n">
        <x:v>0.05</x:v>
      </x:c>
      <x:c r="E21" s="22"/>
      <x:c r="F21" s="2" t="str">
        <x:v>% of gross</x:v>
      </x:c>
      <x:c r="G21" s="16" t="str">
        <x:v>Includes assumed discounts/refunds</x:v>
      </x:c>
      <x:c r="H21" s="7"/>
      <x:c r="I21" s="2"/>
      <x:c r="J21" s="2"/>
    </x:row>
    <x:row r="22" ht="23" customHeight="1">
      <x:c r="A22" s="2"/>
      <x:c r="B22" s="2" t="str">
        <x:v>Wholesale product cost</x:v>
      </x:c>
      <x:c r="C22" s="19" t="n">
        <x:f>IF($C$4="Fictional example",IF(LEN(D22&amp;"")=0,"Missing",D22),IF($C$4="Your order",IF(LEN(E22&amp;"")=0,"Missing",E22),"Invalid mode"))</x:f>
        <x:v>20</x:v>
      </x:c>
      <x:c r="D22" s="20" t="n">
        <x:v>20</x:v>
      </x:c>
      <x:c r="E22" s="20"/>
      <x:c r="F22" s="2" t="str">
        <x:v>USD / unit</x:v>
      </x:c>
      <x:c r="G22" s="16" t="str">
        <x:v>Landed cost; include applicable tariffs</x:v>
      </x:c>
      <x:c r="H22" s="7"/>
      <x:c r="I22" s="2"/>
      <x:c r="J22" s="2"/>
    </x:row>
    <x:row r="23" ht="23" customHeight="1">
      <x:c r="A23" s="2"/>
      <x:c r="B23" s="2" t="str">
        <x:v>Wholesale freight / fulfillment</x:v>
      </x:c>
      <x:c r="C23" s="17" t="n">
        <x:f>IF($C$4="Fictional example",IF(LEN(D23&amp;"")=0,"Missing",D23),IF($C$4="Your order",IF(LEN(E23&amp;"")=0,"Missing",E23),"Invalid mode"))</x:f>
        <x:v>3000</x:v>
      </x:c>
      <x:c r="D23" s="18" t="n">
        <x:v>3000</x:v>
      </x:c>
      <x:c r="E23" s="18"/>
      <x:c r="F23" s="2" t="str">
        <x:v>USD</x:v>
      </x:c>
      <x:c r="G23" s="16" t="str">
        <x:v>Fulfillment included; do not duplicate</x:v>
      </x:c>
      <x:c r="H23" s="7"/>
      <x:c r="I23" s="2"/>
      <x:c r="J23" s="2"/>
    </x:row>
    <x:row r="24" ht="23" customHeight="1">
      <x:c r="A24" s="2"/>
      <x:c r="B24" s="2" t="str">
        <x:v>Wholesale payment fees</x:v>
      </x:c>
      <x:c r="C24" s="17" t="n">
        <x:f>IF($C$4="Fictional example",IF(LEN(D24&amp;"")=0,"Missing",D24),IF($C$4="Your order",IF(LEN(E24&amp;"")=0,"Missing",E24),"Invalid mode"))</x:f>
        <x:v>0</x:v>
      </x:c>
      <x:c r="D24" s="18" t="n">
        <x:v>0</x:v>
      </x:c>
      <x:c r="E24" s="18"/>
      <x:c r="F24" s="2" t="str">
        <x:v>USD</x:v>
      </x:c>
      <x:c r="G24" s="16" t="str">
        <x:v>Explicit zero in the illustration</x:v>
      </x:c>
      <x:c r="H24" s="7"/>
      <x:c r="I24" s="2"/>
      <x:c r="J24" s="2"/>
    </x:row>
    <x:row r="25" ht="23" customHeight="1">
      <x:c r="A25" s="2"/>
      <x:c r="B25" s="2" t="str">
        <x:v>Wholesale returns processing</x:v>
      </x:c>
      <x:c r="C25" s="17" t="n">
        <x:f>IF($C$4="Fictional example",IF(LEN(D25&amp;"")=0,"Missing",D25),IF($C$4="Your order",IF(LEN(E25&amp;"")=0,"Missing",E25),"Invalid mode"))</x:f>
        <x:v>0</x:v>
      </x:c>
      <x:c r="D25" s="18" t="n">
        <x:v>0</x:v>
      </x:c>
      <x:c r="E25" s="18"/>
      <x:c r="F25" s="2" t="str">
        <x:v>USD</x:v>
      </x:c>
      <x:c r="G25" s="16" t="str">
        <x:v>Explicit zero; no recovered inventory</x:v>
      </x:c>
      <x:c r="H25" s="7"/>
      <x:c r="I25" s="2"/>
      <x:c r="J25" s="2"/>
    </x:row>
    <x:row r="26" ht="23" customHeight="1">
      <x:c r="A26" s="2"/>
      <x:c r="B26" s="2" t="str">
        <x:v>Wholesale sales commission</x:v>
      </x:c>
      <x:c r="C26" s="21" t="n">
        <x:f>IF($C$4="Fictional example",IF(LEN(D26&amp;"")=0,"Missing",D26),IF($C$4="Your order",IF(LEN(E26&amp;"")=0,"Missing",E26),"Invalid mode"))</x:f>
        <x:v>0.05</x:v>
      </x:c>
      <x:c r="D26" s="22" t="n">
        <x:v>0.05</x:v>
      </x:c>
      <x:c r="E26" s="22"/>
      <x:c r="F26" s="2" t="str">
        <x:v>% of net sales</x:v>
      </x:c>
      <x:c r="G26" s="16" t="str">
        <x:v>Agreed commission basis</x:v>
      </x:c>
      <x:c r="H26" s="7"/>
      <x:c r="I26" s="2"/>
      <x:c r="J26" s="2"/>
    </x:row>
    <x:row r="27" ht="23" customHeight="1">
      <x:c r="A27" s="2"/>
      <x:c r="B27" s="2" t="str">
        <x:v>Other wholesale variable costs</x:v>
      </x:c>
      <x:c r="C27" s="17" t="n">
        <x:f>IF($C$4="Fictional example",IF(LEN(D27&amp;"")=0,"Missing",D27),IF($C$4="Your order",IF(LEN(E27&amp;"")=0,"Missing",E27),"Invalid mode"))</x:f>
        <x:v>0</x:v>
      </x:c>
      <x:c r="D27" s="18" t="n">
        <x:v>0</x:v>
      </x:c>
      <x:c r="E27" s="18"/>
      <x:c r="F27" s="2" t="str">
        <x:v>USD</x:v>
      </x:c>
      <x:c r="G27" s="16" t="str">
        <x:v>Paid on accepted-delivery date</x:v>
      </x:c>
      <x:c r="H27" s="7"/>
      <x:c r="I27" s="2"/>
      <x:c r="J27" s="2"/>
    </x:row>
    <x:row r="28" ht="23" customHeight="1">
      <x:c r="A28" s="2"/>
      <x:c r="B28" s="2" t="str">
        <x:v>Wholesale product-cost increase</x:v>
      </x:c>
      <x:c r="C28" s="21" t="n">
        <x:f>IF($C$4="Fictional example",IF(LEN(D28&amp;"")=0,"Missing",D28),IF($C$4="Your order",IF(LEN(E28&amp;"")=0,"Missing",E28),"Invalid mode"))</x:f>
        <x:v>0</x:v>
      </x:c>
      <x:c r="D28" s="22" t="n">
        <x:v>0</x:v>
      </x:c>
      <x:c r="E28" s="22"/>
      <x:c r="F28" s="2" t="str">
        <x:v>% uplift</x:v>
      </x:c>
      <x:c r="G28" s="16" t="str">
        <x:v>Scenario driver; base 0%, stress 20%</x:v>
      </x:c>
      <x:c r="H28" s="7"/>
      <x:c r="I28" s="2"/>
      <x:c r="J28" s="2"/>
    </x:row>
    <x:row r="29" ht="25" customHeight="1">
      <x:c r="A29" s="2"/>
      <x:c r="B29" s="10" t="str">
        <x:v>Order payment dates and terms</x:v>
      </x:c>
      <x:c r="C29" s="10"/>
      <x:c r="D29" s="10"/>
      <x:c r="E29" s="10"/>
      <x:c r="F29" s="10"/>
      <x:c r="G29" s="10"/>
      <x:c r="H29" s="10"/>
      <x:c r="I29" s="2"/>
      <x:c r="J29" s="2"/>
    </x:row>
    <x:row r="30" ht="23" customHeight="1">
      <x:c r="A30" s="2"/>
      <x:c r="B30" s="2" t="str">
        <x:v>Supplier deposit date</x:v>
      </x:c>
      <x:c r="C30" s="23" t="n">
        <x:f>IF($C$4="Fictional example",IF(LEN(D30&amp;"")=0,"Missing",D30),IF($C$4="Your order",IF(LEN(E30&amp;"")=0,"Missing",E30),"Invalid mode"))</x:f>
        <x:v>46286</x:v>
      </x:c>
      <x:c r="D30" s="24" t="n">
        <x:v>46286</x:v>
      </x:c>
      <x:c r="E30" s="24"/>
      <x:c r="F30" s="2" t="str">
        <x:v>date</x:v>
      </x:c>
      <x:c r="G30" s="16" t="str">
        <x:v>Fictional day 0 = 09/21/26</x:v>
      </x:c>
      <x:c r="H30" s="7"/>
      <x:c r="I30" s="2"/>
      <x:c r="J30" s="2"/>
    </x:row>
    <x:row r="31" ht="23" customHeight="1">
      <x:c r="A31" s="2"/>
      <x:c r="B31" s="2" t="str">
        <x:v>Supplier deposit share</x:v>
      </x:c>
      <x:c r="C31" s="21" t="n">
        <x:f>IF($C$4="Fictional example",IF(LEN(D31&amp;"")=0,"Missing",D31),IF($C$4="Your order",IF(LEN(E31&amp;"")=0,"Missing",E31),"Invalid mode"))</x:f>
        <x:v>0.3</x:v>
      </x:c>
      <x:c r="D31" s="22" t="n">
        <x:v>0.3</x:v>
      </x:c>
      <x:c r="E31" s="22"/>
      <x:c r="F31" s="2" t="str">
        <x:v>% product cost</x:v>
      </x:c>
      <x:c r="G31" s="16" t="str">
        <x:v>Balance is remaining product cost</x:v>
      </x:c>
      <x:c r="H31" s="7"/>
      <x:c r="I31" s="2"/>
      <x:c r="J31" s="2"/>
    </x:row>
    <x:row r="32" ht="23" customHeight="1">
      <x:c r="A32" s="2"/>
      <x:c r="B32" s="2" t="str">
        <x:v>Supplier balance date</x:v>
      </x:c>
      <x:c r="C32" s="23" t="n">
        <x:f>IF($C$4="Fictional example",IF(LEN(D32&amp;"")=0,"Missing",D32),IF($C$4="Your order",IF(LEN(E32&amp;"")=0,"Missing",E32),"Invalid mode"))</x:f>
        <x:v>46331</x:v>
      </x:c>
      <x:c r="D32" s="24" t="n">
        <x:v>46331</x:v>
      </x:c>
      <x:c r="E32" s="24"/>
      <x:c r="F32" s="2" t="str">
        <x:v>date</x:v>
      </x:c>
      <x:c r="G32" s="16" t="str">
        <x:v>Fictional day 45</x:v>
      </x:c>
      <x:c r="H32" s="7"/>
      <x:c r="I32" s="2"/>
      <x:c r="J32" s="2"/>
    </x:row>
    <x:row r="33" ht="23" customHeight="1">
      <x:c r="A33" s="2"/>
      <x:c r="B33" s="2" t="str">
        <x:v>Accepted delivery / terms start</x:v>
      </x:c>
      <x:c r="C33" s="23" t="n">
        <x:f>IF($C$4="Fictional example",IF(LEN(D33&amp;"")=0,"Missing",D33),IF($C$4="Your order",IF(LEN(E33&amp;"")=0,"Missing",E33),"Invalid mode"))</x:f>
        <x:v>46346</x:v>
      </x:c>
      <x:c r="D33" s="24" t="n">
        <x:v>46346</x:v>
      </x:c>
      <x:c r="E33" s="24"/>
      <x:c r="F33" s="2" t="str">
        <x:v>date</x:v>
      </x:c>
      <x:c r="G33" s="16" t="str">
        <x:v>Fictional contract trigger; confirm yours</x:v>
      </x:c>
      <x:c r="H33" s="7"/>
      <x:c r="I33" s="2"/>
      <x:c r="J33" s="2"/>
    </x:row>
    <x:row r="34" ht="23" customHeight="1">
      <x:c r="A34" s="2"/>
      <x:c r="B34" s="2" t="str">
        <x:v>Days from trigger to collection</x:v>
      </x:c>
      <x:c r="C34" s="17" t="n">
        <x:f>IF($C$4="Fictional example",IF(LEN(D34&amp;"")=0,"Missing",D34),IF($C$4="Your order",IF(LEN(E34&amp;"")=0,"Missing",E34),"Invalid mode"))</x:f>
        <x:v>60</x:v>
      </x:c>
      <x:c r="D34" s="71" t="n">
        <x:v>60</x:v>
      </x:c>
      <x:c r="E34" s="18"/>
      <x:c r="F34" s="2" t="str">
        <x:v>days</x:v>
      </x:c>
      <x:c r="G34" s="16" t="str">
        <x:v>Contract term; zero means same day</x:v>
      </x:c>
      <x:c r="H34" s="7"/>
      <x:c r="I34" s="2"/>
      <x:c r="J34" s="2"/>
    </x:row>
    <x:row r="35" ht="23" customHeight="1">
      <x:c r="A35" s="2"/>
      <x:c r="B35" s="2" t="str">
        <x:v>Additional collection delay</x:v>
      </x:c>
      <x:c r="C35" s="17" t="n">
        <x:f>IF($C$4="Fictional example",IF(LEN(D35&amp;"")=0,"Missing",D35),IF($C$4="Your order",IF(LEN(E35&amp;"")=0,"Missing",E35),"Invalid mode"))</x:f>
        <x:v>0</x:v>
      </x:c>
      <x:c r="D35" s="18" t="n">
        <x:v>0</x:v>
      </x:c>
      <x:c r="E35" s="18"/>
      <x:c r="F35" s="2" t="str">
        <x:v>days</x:v>
      </x:c>
      <x:c r="G35" s="16" t="str">
        <x:v>Scenario driver; base 0, stress 30</x:v>
      </x:c>
      <x:c r="H35" s="7"/>
      <x:c r="I35" s="2"/>
      <x:c r="J35" s="2"/>
    </x:row>
    <x:row r="36" ht="23" customHeight="1">
      <x:c r="A36" s="2"/>
      <x:c r="B36" s="2" t="str">
        <x:v>Commission lag after collection</x:v>
      </x:c>
      <x:c r="C36" s="17" t="n">
        <x:f>IF($C$4="Fictional example",IF(LEN(D36&amp;"")=0,"Missing",D36),IF($C$4="Your order",IF(LEN(E36&amp;"")=0,"Missing",E36),"Invalid mode"))</x:f>
        <x:v>0</x:v>
      </x:c>
      <x:c r="D36" s="18" t="n">
        <x:v>0</x:v>
      </x:c>
      <x:c r="E36" s="18"/>
      <x:c r="F36" s="2" t="str">
        <x:v>days</x:v>
      </x:c>
      <x:c r="G36" s="16" t="str">
        <x:v>Other fees paid on delivery</x:v>
      </x:c>
      <x:c r="H36" s="7"/>
      <x:c r="I36" s="2"/>
      <x:c r="J36" s="2"/>
    </x:row>
    <x:row r="37" ht="23" customHeight="1">
      <x:c r="A37" s="2"/>
      <x:c r="B37" s="2" t="str">
        <x:v>Next replenishment payment date</x:v>
      </x:c>
      <x:c r="C37" s="23" t="n">
        <x:f>IF($C$4="Fictional example",IF(LEN(D37&amp;"")=0,"Missing",D37),IF($C$4="Your order",IF(LEN(E37&amp;"")=0,"Missing",E37),"Invalid mode"))</x:f>
        <x:v>46436</x:v>
      </x:c>
      <x:c r="D37" s="24" t="n">
        <x:v>46436</x:v>
      </x:c>
      <x:c r="E37" s="24"/>
      <x:c r="F37" s="2" t="str">
        <x:v>date</x:v>
      </x:c>
      <x:c r="G37" s="16" t="str">
        <x:v>Review even if amount is zero</x:v>
      </x:c>
      <x:c r="H37" s="7"/>
      <x:c r="I37" s="2"/>
      <x:c r="J37" s="2"/>
    </x:row>
    <x:row r="38" ht="23" customHeight="1">
      <x:c r="A38" s="2"/>
      <x:c r="B38" s="2" t="str">
        <x:v>Next replenishment cash payment</x:v>
      </x:c>
      <x:c r="C38" s="17" t="n">
        <x:f>IF($C$4="Fictional example",IF(LEN(D38&amp;"")=0,"Missing",D38),IF($C$4="Your order",IF(LEN(E38&amp;"")=0,"Missing",E38),"Invalid mode"))</x:f>
        <x:v>0</x:v>
      </x:c>
      <x:c r="D38" s="18" t="n">
        <x:v>0</x:v>
      </x:c>
      <x:c r="E38" s="18"/>
      <x:c r="F38" s="2" t="str">
        <x:v>USD</x:v>
      </x:c>
      <x:c r="G38" s="16" t="str">
        <x:v>Excluded from this order contribution</x:v>
      </x:c>
      <x:c r="H38" s="7"/>
      <x:c r="I38" s="2"/>
      <x:c r="J38" s="2"/>
    </x:row>
    <x:row r="39" ht="25" customHeight="1">
      <x:c r="A39" s="2"/>
      <x:c r="B39" s="10" t="str">
        <x:v>Additional order cash commitments</x:v>
      </x:c>
      <x:c r="C39" s="10"/>
      <x:c r="D39" s="10"/>
      <x:c r="E39" s="10"/>
      <x:c r="F39" s="10"/>
      <x:c r="G39" s="10"/>
      <x:c r="H39" s="10"/>
      <x:c r="I39" s="2"/>
      <x:c r="J39" s="2"/>
    </x:row>
    <x:row r="40" ht="23" customHeight="1">
      <x:c r="A40" s="2"/>
      <x:c r="B40" s="2" t="str">
        <x:v>Incremental taxes paid</x:v>
      </x:c>
      <x:c r="C40" s="17" t="n">
        <x:f>IF($C$4="Fictional example",IF(LEN(D40&amp;"")=0,"Missing",D40),IF($C$4="Your order",IF(LEN(E40&amp;"")=0,"Missing",E40),"Invalid mode"))</x:f>
        <x:v>0</x:v>
      </x:c>
      <x:c r="D40" s="18" t="n">
        <x:v>0</x:v>
      </x:c>
      <x:c r="E40" s="18"/>
      <x:c r="F40" s="2" t="str">
        <x:v>USD</x:v>
      </x:c>
      <x:c r="G40" s="16" t="str">
        <x:v>Cash-only; not a tax-rate calculation</x:v>
      </x:c>
      <x:c r="H40" s="7"/>
      <x:c r="I40" s="2"/>
      <x:c r="J40" s="2"/>
    </x:row>
    <x:row r="41" ht="23" customHeight="1">
      <x:c r="A41" s="2"/>
      <x:c r="B41" s="2" t="str">
        <x:v>Tax payment date</x:v>
      </x:c>
      <x:c r="C41" s="23" t="n">
        <x:f>IF($C$4="Fictional example",IF(LEN(D41&amp;"")=0,"Missing",D41),IF($C$4="Your order",IF(LEN(E41&amp;"")=0,"Missing",E41),"Invalid mode"))</x:f>
        <x:v>46387</x:v>
      </x:c>
      <x:c r="D41" s="24" t="n">
        <x:v>46387</x:v>
      </x:c>
      <x:c r="E41" s="24"/>
      <x:c r="F41" s="2" t="str">
        <x:v>date</x:v>
      </x:c>
      <x:c r="G41" s="16" t="str">
        <x:v>Example excludes taxes with explicit 0</x:v>
      </x:c>
      <x:c r="H41" s="7"/>
      <x:c r="I41" s="2"/>
      <x:c r="J41" s="2"/>
    </x:row>
    <x:row r="42" ht="23" customHeight="1">
      <x:c r="A42" s="2"/>
      <x:c r="B42" s="2" t="str">
        <x:v>Financing fees / interest paid</x:v>
      </x:c>
      <x:c r="C42" s="17" t="n">
        <x:f>IF($C$4="Fictional example",IF(LEN(D42&amp;"")=0,"Missing",D42),IF($C$4="Your order",IF(LEN(E42&amp;"")=0,"Missing",E42),"Invalid mode"))</x:f>
        <x:v>0</x:v>
      </x:c>
      <x:c r="D42" s="18" t="n">
        <x:v>0</x:v>
      </x:c>
      <x:c r="E42" s="18"/>
      <x:c r="F42" s="2" t="str">
        <x:v>USD</x:v>
      </x:c>
      <x:c r="G42" s="16" t="str">
        <x:v>Cash-only; no debt approval assumed</x:v>
      </x:c>
      <x:c r="H42" s="7"/>
      <x:c r="I42" s="2"/>
      <x:c r="J42" s="2"/>
    </x:row>
    <x:row r="43" ht="23" customHeight="1">
      <x:c r="A43" s="2"/>
      <x:c r="B43" s="2" t="str">
        <x:v>Financing payment date</x:v>
      </x:c>
      <x:c r="C43" s="23" t="n">
        <x:f>IF($C$4="Fictional example",IF(LEN(D43&amp;"")=0,"Missing",D43),IF($C$4="Your order",IF(LEN(E43&amp;"")=0,"Missing",E43),"Invalid mode"))</x:f>
        <x:v>46406</x:v>
      </x:c>
      <x:c r="D43" s="24" t="n">
        <x:v>46406</x:v>
      </x:c>
      <x:c r="E43" s="24"/>
      <x:c r="F43" s="2" t="str">
        <x:v>date</x:v>
      </x:c>
      <x:c r="G43" s="16" t="str">
        <x:v>Add principal in company ledger</x:v>
      </x:c>
      <x:c r="H43" s="7"/>
      <x:c r="I43" s="2"/>
      <x:c r="J43" s="2"/>
    </x:row>
    <x:row r="44" ht="23" customHeight="1">
      <x:c r="A44" s="2"/>
      <x:c r="B44" s="2" t="str">
        <x:v>Incremental fixed overhead paid</x:v>
      </x:c>
      <x:c r="C44" s="17" t="n">
        <x:f>IF($C$4="Fictional example",IF(LEN(D44&amp;"")=0,"Missing",D44),IF($C$4="Your order",IF(LEN(E44&amp;"")=0,"Missing",E44),"Invalid mode"))</x:f>
        <x:v>0</x:v>
      </x:c>
      <x:c r="D44" s="18" t="n">
        <x:v>0</x:v>
      </x:c>
      <x:c r="E44" s="18"/>
      <x:c r="F44" s="2" t="str">
        <x:v>USD</x:v>
      </x:c>
      <x:c r="G44" s="16" t="str">
        <x:v>Cash-only; excluded from contribution</x:v>
      </x:c>
      <x:c r="H44" s="7"/>
      <x:c r="I44" s="2"/>
      <x:c r="J44" s="2"/>
    </x:row>
    <x:row r="45" ht="23" customHeight="1">
      <x:c r="A45" s="2"/>
      <x:c r="B45" s="2" t="str">
        <x:v>Incremental overhead date</x:v>
      </x:c>
      <x:c r="C45" s="23" t="n">
        <x:f>IF($C$4="Fictional example",IF(LEN(D45&amp;"")=0,"Missing",D45),IF($C$4="Your order",IF(LEN(E45&amp;"")=0,"Missing",E45),"Invalid mode"))</x:f>
        <x:v>46387</x:v>
      </x:c>
      <x:c r="D45" s="24" t="n">
        <x:v>46387</x:v>
      </x:c>
      <x:c r="E45" s="24"/>
      <x:c r="F45" s="2" t="str">
        <x:v>date</x:v>
      </x:c>
      <x:c r="G45" s="16" t="str">
        <x:v>Existing overhead in company ledger</x:v>
      </x:c>
      <x:c r="H45" s="7"/>
      <x:c r="I45" s="2"/>
      <x:c r="J45" s="2"/>
    </x:row>
    <x:row r="46" ht="25" customHeight="1">
      <x:c r="A46" s="2"/>
      <x:c r="B46" s="10" t="str">
        <x:v>Company cash forecast</x:v>
      </x:c>
      <x:c r="C46" s="10"/>
      <x:c r="D46" s="10"/>
      <x:c r="E46" s="10"/>
      <x:c r="F46" s="10"/>
      <x:c r="G46" s="10"/>
      <x:c r="H46" s="10"/>
      <x:c r="I46" s="2"/>
      <x:c r="J46" s="2"/>
    </x:row>
    <x:row r="47" ht="23" customHeight="1">
      <x:c r="A47" s="2"/>
      <x:c r="B47" s="2" t="str">
        <x:v>Company forecast starting date</x:v>
      </x:c>
      <x:c r="C47" s="23" t="n">
        <x:f>IF($C$4="Fictional example",IF(LEN(D47&amp;"")=0,"Missing",D47),IF($C$4="Your order",IF(LEN(E47&amp;"")=0,"Missing",E47),"Invalid mode"))</x:f>
        <x:v>46286</x:v>
      </x:c>
      <x:c r="D47" s="24" t="n">
        <x:v>46286</x:v>
      </x:c>
      <x:c r="E47" s="24"/>
      <x:c r="F47" s="2" t="str">
        <x:v>date</x:v>
      </x:c>
      <x:c r="G47" s="16" t="str">
        <x:v>Opening balance is before this day</x:v>
      </x:c>
      <x:c r="H47" s="7"/>
      <x:c r="I47" s="2"/>
      <x:c r="J47" s="2"/>
    </x:row>
    <x:row r="48" ht="23" customHeight="1">
      <x:c r="A48" s="2"/>
      <x:c r="B48" s="2" t="str">
        <x:v>Opening available company cash</x:v>
      </x:c>
      <x:c r="C48" s="17" t="n">
        <x:f>IF($C$4="Fictional example",IF(LEN(D48&amp;"")=0,"Missing",D48),IF($C$4="Your order",IF(LEN(E48&amp;"")=0,"Missing",E48),"Invalid mode"))</x:f>
        <x:v>100000</x:v>
      </x:c>
      <x:c r="D48" s="18" t="n">
        <x:v>100000</x:v>
      </x:c>
      <x:c r="E48" s="18"/>
      <x:c r="F48" s="2" t="str">
        <x:v>USD</x:v>
      </x:c>
      <x:c r="G48" s="16" t="str">
        <x:v>Invented company overlay, not article data</x:v>
      </x:c>
      <x:c r="H48" s="7"/>
      <x:c r="I48" s="2"/>
      <x:c r="J48" s="2"/>
    </x:row>
    <x:row r="49" ht="23" customHeight="1">
      <x:c r="A49" s="2"/>
      <x:c r="B49" s="2" t="str">
        <x:v>Minimum company cash reserve</x:v>
      </x:c>
      <x:c r="C49" s="17" t="n">
        <x:f>IF($C$4="Fictional example",IF(LEN(D49&amp;"")=0,"Missing",D49),IF($C$4="Your order",IF(LEN(E49&amp;"")=0,"Missing",E49),"Invalid mode"))</x:f>
        <x:v>25000</x:v>
      </x:c>
      <x:c r="D49" s="18" t="n">
        <x:v>25000</x:v>
      </x:c>
      <x:c r="E49" s="18"/>
      <x:c r="F49" s="2" t="str">
        <x:v>USD</x:v>
      </x:c>
      <x:c r="G49" s="16" t="str">
        <x:v>User-chosen reserve; no standard threshold</x:v>
      </x:c>
      <x:c r="H49" s="7"/>
      <x:c r="I49" s="2"/>
      <x:c r="J49" s="2"/>
    </x:row>
    <x:row r="50" ht="23" customHeight="1">
      <x:c r="A50" s="2"/>
      <x:c r="B50" s="2" t="str">
        <x:v>Requested forecast ending date</x:v>
      </x:c>
      <x:c r="C50" s="23" t="n">
        <x:f>IF($C$4="Fictional example",IF(LEN(D50&amp;"")=0,"Missing",D50),IF($C$4="Your order",IF(LEN(E50&amp;"")=0,"Missing",E50),"Invalid mode"))</x:f>
        <x:v>46466</x:v>
      </x:c>
      <x:c r="D50" s="24" t="n">
        <x:v>46466</x:v>
      </x:c>
      <x:c r="E50" s="24"/>
      <x:c r="F50" s="2" t="str">
        <x:v>date</x:v>
      </x:c>
      <x:c r="G50" s="16" t="str">
        <x:v>Auto-extends through all entered cash dates</x:v>
      </x:c>
      <x:c r="H50" s="7"/>
      <x:c r="I50" s="2"/>
      <x:c r="J50" s="2"/>
    </x:row>
    <x:row r="51">
      <x:c r="B51" t="str">
        <x:v>Company forecast is complete</x:v>
      </x:c>
      <x:c r="C51" s="29" t="str">
        <x:f>IF($C$4="Fictional example",IF(LEN(D51&amp;"")=0,"Missing",D51),IF($C$4="Your order",IF(LEN(E51&amp;"")=0,"Missing",E51),"Invalid mode"))</x:f>
        <x:v>Yes</x:v>
      </x:c>
      <x:c r="D51" s="28" t="str">
        <x:v>Yes</x:v>
      </x:c>
      <x:c r="E51" s="28"/>
      <x:c r="F51" t="str">
        <x:v>Yes / No</x:v>
      </x:c>
      <x:c r="G51" s="30" t="str">
        <x:v>All existing DTC, payroll, tax and debt flows</x:v>
      </x:c>
      <x:c r="H51" s="27"/>
    </x:row>
    <x:row r="52">
      <x:c r="B52" t="str">
        <x:v>Duplicate payments reconciled</x:v>
      </x:c>
      <x:c r="C52" s="29" t="str">
        <x:f>IF($C$4="Fictional example",IF(LEN(D52&amp;"")=0,"Missing",D52),IF($C$4="Your order",IF(LEN(E52&amp;"")=0,"Missing",E52),"Invalid mode"))</x:f>
        <x:v>Yes</x:v>
      </x:c>
      <x:c r="D52" s="28" t="str">
        <x:v>Yes</x:v>
      </x:c>
      <x:c r="E52" s="28"/>
      <x:c r="F52" t="str">
        <x:v>Yes / No</x:v>
      </x:c>
      <x:c r="G52" s="30" t="str">
        <x:v>Check order flows against existing forecast</x:v>
      </x:c>
      <x:c r="H52" s="27"/>
    </x:row>
    <x:row r="54">
      <x:c r="B54" t="str">
        <x:v>Company forecast rows exclude the new order unless marked Already in order.</x:v>
      </x:c>
    </x:row>
    <x:row r="55">
      <x:c r="B55" t="str">
        <x:v>Use stable unique IDs. For a matched duplicate, enter its order ID in column H.</x:v>
      </x:c>
    </x:row>
    <x:row r="56">
      <x:c r="B56" t="str">
        <x:v>Both receipts and payments are required: enter 0 for the unused side. Maximum 20 rows per mode.</x:v>
      </x:c>
    </x:row>
    <x:row r="57">
      <x:c r="B57" t="str">
        <x:v>Fictional company forecast (additional invented assumptions)</x:v>
      </x:c>
    </x:row>
    <x:row r="58" ht="34" customHeight="1">
      <x:c r="B58" s="33" t="str">
        <x:v>Forecast ID</x:v>
      </x:c>
      <x:c r="C58" s="33" t="str">
        <x:v>Actual date</x:v>
      </x:c>
      <x:c r="D58" s="33" t="str">
        <x:v>Receipts USD</x:v>
      </x:c>
      <x:c r="E58" s="33" t="str">
        <x:v>Payments USD</x:v>
      </x:c>
      <x:c r="F58" s="33" t="str">
        <x:v>Handling</x:v>
      </x:c>
      <x:c r="G58" s="33" t="str">
        <x:v>Description / source</x:v>
      </x:c>
      <x:c r="H58" s="33" t="str">
        <x:v>Matching order ID</x:v>
      </x:c>
    </x:row>
    <x:row r="59" ht="24" customHeight="1">
      <x:c r="B59" s="27" t="str">
        <x:v>PAYROLL-01</x:v>
      </x:c>
      <x:c r="C59" s="34" t="n">
        <x:v>46316</x:v>
      </x:c>
      <x:c r="D59" s="35" t="n">
        <x:v>0</x:v>
      </x:c>
      <x:c r="E59" s="35" t="n">
        <x:v>20000</x:v>
      </x:c>
      <x:c r="F59" s="27" t="str">
        <x:v>Separate</x:v>
      </x:c>
      <x:c r="G59" s="27" t="str">
        <x:v>Illustrative existing company payment</x:v>
      </x:c>
      <x:c r="H59" s="27"/>
    </x:row>
    <x:row r="60" ht="24" customHeight="1">
      <x:c r="B60" s="27" t="str">
        <x:v>DEP-COPY</x:v>
      </x:c>
      <x:c r="C60" s="34" t="n">
        <x:v>46286</x:v>
      </x:c>
      <x:c r="D60" s="35" t="n">
        <x:v>0</x:v>
      </x:c>
      <x:c r="E60" s="35" t="n">
        <x:v>6000</x:v>
      </x:c>
      <x:c r="F60" s="27" t="str">
        <x:v>Already in order</x:v>
      </x:c>
      <x:c r="G60" s="27" t="str">
        <x:v>Duplicate deposit already in forecast</x:v>
      </x:c>
      <x:c r="H60" s="27" t="str">
        <x:v>ORD-DEPOSIT</x:v>
      </x:c>
    </x:row>
    <x:row r="61" ht="24" customHeight="1">
      <x:c r="B61" s="27"/>
      <x:c r="C61" s="34"/>
      <x:c r="D61" s="35"/>
      <x:c r="E61" s="35"/>
      <x:c r="F61" s="27"/>
      <x:c r="G61" s="27"/>
      <x:c r="H61" s="27"/>
    </x:row>
    <x:row r="62" ht="24" customHeight="1">
      <x:c r="B62" s="27"/>
      <x:c r="C62" s="34"/>
      <x:c r="D62" s="35"/>
      <x:c r="E62" s="35"/>
      <x:c r="F62" s="27"/>
      <x:c r="G62" s="27"/>
      <x:c r="H62" s="27"/>
    </x:row>
    <x:row r="63" ht="24" customHeight="1">
      <x:c r="B63" s="27"/>
      <x:c r="C63" s="34"/>
      <x:c r="D63" s="35"/>
      <x:c r="E63" s="35"/>
      <x:c r="F63" s="27"/>
      <x:c r="G63" s="27"/>
      <x:c r="H63" s="27"/>
    </x:row>
    <x:row r="64" ht="24" customHeight="1">
      <x:c r="B64" s="27"/>
      <x:c r="C64" s="34"/>
      <x:c r="D64" s="35"/>
      <x:c r="E64" s="35"/>
      <x:c r="F64" s="27"/>
      <x:c r="G64" s="27"/>
      <x:c r="H64" s="27"/>
    </x:row>
    <x:row r="65" ht="24" customHeight="1">
      <x:c r="B65" s="27"/>
      <x:c r="C65" s="34"/>
      <x:c r="D65" s="35"/>
      <x:c r="E65" s="35"/>
      <x:c r="F65" s="27"/>
      <x:c r="G65" s="27"/>
      <x:c r="H65" s="27"/>
    </x:row>
    <x:row r="66" ht="24" customHeight="1">
      <x:c r="B66" s="27"/>
      <x:c r="C66" s="34"/>
      <x:c r="D66" s="35"/>
      <x:c r="E66" s="35"/>
      <x:c r="F66" s="27"/>
      <x:c r="G66" s="27"/>
      <x:c r="H66" s="27"/>
    </x:row>
    <x:row r="67" ht="24" customHeight="1">
      <x:c r="B67" s="27"/>
      <x:c r="C67" s="34"/>
      <x:c r="D67" s="35"/>
      <x:c r="E67" s="35"/>
      <x:c r="F67" s="27"/>
      <x:c r="G67" s="27"/>
      <x:c r="H67" s="27"/>
    </x:row>
    <x:row r="68" ht="24" customHeight="1">
      <x:c r="B68" s="27"/>
      <x:c r="C68" s="34"/>
      <x:c r="D68" s="35"/>
      <x:c r="E68" s="35"/>
      <x:c r="F68" s="27"/>
      <x:c r="G68" s="27"/>
      <x:c r="H68" s="27"/>
    </x:row>
    <x:row r="69" ht="24" customHeight="1">
      <x:c r="B69" s="27"/>
      <x:c r="C69" s="34"/>
      <x:c r="D69" s="35"/>
      <x:c r="E69" s="35"/>
      <x:c r="F69" s="27"/>
      <x:c r="G69" s="27"/>
      <x:c r="H69" s="27"/>
    </x:row>
    <x:row r="70" ht="24" customHeight="1">
      <x:c r="B70" s="27"/>
      <x:c r="C70" s="34"/>
      <x:c r="D70" s="35"/>
      <x:c r="E70" s="35"/>
      <x:c r="F70" s="27"/>
      <x:c r="G70" s="27"/>
      <x:c r="H70" s="27"/>
    </x:row>
    <x:row r="71" ht="24" customHeight="1">
      <x:c r="B71" s="27"/>
      <x:c r="C71" s="34"/>
      <x:c r="D71" s="35"/>
      <x:c r="E71" s="35"/>
      <x:c r="F71" s="27"/>
      <x:c r="G71" s="27"/>
      <x:c r="H71" s="27"/>
    </x:row>
    <x:row r="72" ht="24" customHeight="1">
      <x:c r="B72" s="27"/>
      <x:c r="C72" s="34"/>
      <x:c r="D72" s="35"/>
      <x:c r="E72" s="35"/>
      <x:c r="F72" s="27"/>
      <x:c r="G72" s="27"/>
      <x:c r="H72" s="27"/>
    </x:row>
    <x:row r="73" ht="24" customHeight="1">
      <x:c r="B73" s="27"/>
      <x:c r="C73" s="34"/>
      <x:c r="D73" s="35"/>
      <x:c r="E73" s="35"/>
      <x:c r="F73" s="27"/>
      <x:c r="G73" s="27"/>
      <x:c r="H73" s="27"/>
    </x:row>
    <x:row r="74" ht="24" customHeight="1">
      <x:c r="B74" s="27"/>
      <x:c r="C74" s="34"/>
      <x:c r="D74" s="35"/>
      <x:c r="E74" s="35"/>
      <x:c r="F74" s="27"/>
      <x:c r="G74" s="27"/>
      <x:c r="H74" s="27"/>
    </x:row>
    <x:row r="75" ht="24" customHeight="1">
      <x:c r="B75" s="27"/>
      <x:c r="C75" s="34"/>
      <x:c r="D75" s="35"/>
      <x:c r="E75" s="35"/>
      <x:c r="F75" s="27"/>
      <x:c r="G75" s="27"/>
      <x:c r="H75" s="27"/>
    </x:row>
    <x:row r="76" ht="24" customHeight="1">
      <x:c r="B76" s="27"/>
      <x:c r="C76" s="34"/>
      <x:c r="D76" s="35"/>
      <x:c r="E76" s="35"/>
      <x:c r="F76" s="27"/>
      <x:c r="G76" s="27"/>
      <x:c r="H76" s="27"/>
    </x:row>
    <x:row r="77" ht="24" customHeight="1">
      <x:c r="B77" s="27"/>
      <x:c r="C77" s="34"/>
      <x:c r="D77" s="35"/>
      <x:c r="E77" s="35"/>
      <x:c r="F77" s="27"/>
      <x:c r="G77" s="27"/>
      <x:c r="H77" s="27"/>
    </x:row>
    <x:row r="78" ht="24" customHeight="1">
      <x:c r="B78" s="27"/>
      <x:c r="C78" s="34"/>
      <x:c r="D78" s="35"/>
      <x:c r="E78" s="35"/>
      <x:c r="F78" s="27"/>
      <x:c r="G78" s="27"/>
      <x:c r="H78" s="27"/>
    </x:row>
    <x:row r="83">
      <x:c r="B83" t="str">
        <x:v>Your company forecast (empty until entered)</x:v>
      </x:c>
    </x:row>
    <x:row r="84" ht="34" customHeight="1">
      <x:c r="B84" s="33" t="str">
        <x:v>Forecast ID</x:v>
      </x:c>
      <x:c r="C84" s="33" t="str">
        <x:v>Actual date</x:v>
      </x:c>
      <x:c r="D84" s="33" t="str">
        <x:v>Receipts USD</x:v>
      </x:c>
      <x:c r="E84" s="33" t="str">
        <x:v>Payments USD</x:v>
      </x:c>
      <x:c r="F84" s="33" t="str">
        <x:v>Handling</x:v>
      </x:c>
      <x:c r="G84" s="33" t="str">
        <x:v>Description / source</x:v>
      </x:c>
      <x:c r="H84" s="33" t="str">
        <x:v>Matching order ID</x:v>
      </x:c>
    </x:row>
    <x:row r="85" ht="24" customHeight="1">
      <x:c r="B85" s="27"/>
      <x:c r="C85" s="34"/>
      <x:c r="D85" s="35"/>
      <x:c r="E85" s="35"/>
      <x:c r="F85" s="27"/>
      <x:c r="G85" s="27"/>
      <x:c r="H85" s="27"/>
    </x:row>
    <x:row r="86" ht="24" customHeight="1">
      <x:c r="B86" s="27"/>
      <x:c r="C86" s="34"/>
      <x:c r="D86" s="35"/>
      <x:c r="E86" s="35"/>
      <x:c r="F86" s="27"/>
      <x:c r="G86" s="27"/>
      <x:c r="H86" s="27"/>
    </x:row>
    <x:row r="87" ht="24" customHeight="1">
      <x:c r="B87" s="27"/>
      <x:c r="C87" s="34"/>
      <x:c r="D87" s="35"/>
      <x:c r="E87" s="35"/>
      <x:c r="F87" s="27"/>
      <x:c r="G87" s="27"/>
      <x:c r="H87" s="27"/>
    </x:row>
    <x:row r="88" ht="24" customHeight="1">
      <x:c r="B88" s="27"/>
      <x:c r="C88" s="34"/>
      <x:c r="D88" s="35"/>
      <x:c r="E88" s="35"/>
      <x:c r="F88" s="27"/>
      <x:c r="G88" s="27"/>
      <x:c r="H88" s="27"/>
    </x:row>
    <x:row r="89" ht="24" customHeight="1">
      <x:c r="B89" s="27"/>
      <x:c r="C89" s="34"/>
      <x:c r="D89" s="35"/>
      <x:c r="E89" s="35"/>
      <x:c r="F89" s="27"/>
      <x:c r="G89" s="27"/>
      <x:c r="H89" s="27"/>
    </x:row>
    <x:row r="90" ht="24" customHeight="1">
      <x:c r="B90" s="27"/>
      <x:c r="C90" s="34"/>
      <x:c r="D90" s="35"/>
      <x:c r="E90" s="35"/>
      <x:c r="F90" s="27"/>
      <x:c r="G90" s="27"/>
      <x:c r="H90" s="27"/>
    </x:row>
    <x:row r="91" ht="24" customHeight="1">
      <x:c r="B91" s="27"/>
      <x:c r="C91" s="34"/>
      <x:c r="D91" s="35"/>
      <x:c r="E91" s="35"/>
      <x:c r="F91" s="27"/>
      <x:c r="G91" s="27"/>
      <x:c r="H91" s="27"/>
    </x:row>
    <x:row r="92" ht="24" customHeight="1">
      <x:c r="B92" s="27"/>
      <x:c r="C92" s="34"/>
      <x:c r="D92" s="35"/>
      <x:c r="E92" s="35"/>
      <x:c r="F92" s="27"/>
      <x:c r="G92" s="27"/>
      <x:c r="H92" s="27"/>
    </x:row>
    <x:row r="93" ht="24" customHeight="1">
      <x:c r="B93" s="27"/>
      <x:c r="C93" s="34"/>
      <x:c r="D93" s="35"/>
      <x:c r="E93" s="35"/>
      <x:c r="F93" s="27"/>
      <x:c r="G93" s="27"/>
      <x:c r="H93" s="27"/>
    </x:row>
    <x:row r="94" ht="24" customHeight="1">
      <x:c r="B94" s="27"/>
      <x:c r="C94" s="34"/>
      <x:c r="D94" s="35"/>
      <x:c r="E94" s="35"/>
      <x:c r="F94" s="27"/>
      <x:c r="G94" s="27"/>
      <x:c r="H94" s="27"/>
    </x:row>
    <x:row r="95" ht="24" customHeight="1">
      <x:c r="B95" s="27"/>
      <x:c r="C95" s="34"/>
      <x:c r="D95" s="35"/>
      <x:c r="E95" s="35"/>
      <x:c r="F95" s="27"/>
      <x:c r="G95" s="27"/>
      <x:c r="H95" s="27"/>
    </x:row>
    <x:row r="96" ht="24" customHeight="1">
      <x:c r="B96" s="27"/>
      <x:c r="C96" s="34"/>
      <x:c r="D96" s="35"/>
      <x:c r="E96" s="35"/>
      <x:c r="F96" s="27"/>
      <x:c r="G96" s="27"/>
      <x:c r="H96" s="27"/>
    </x:row>
    <x:row r="97" ht="24" customHeight="1">
      <x:c r="B97" s="27"/>
      <x:c r="C97" s="34"/>
      <x:c r="D97" s="35"/>
      <x:c r="E97" s="35"/>
      <x:c r="F97" s="27"/>
      <x:c r="G97" s="27"/>
      <x:c r="H97" s="27"/>
    </x:row>
    <x:row r="98" ht="24" customHeight="1">
      <x:c r="B98" s="27"/>
      <x:c r="C98" s="34"/>
      <x:c r="D98" s="35"/>
      <x:c r="E98" s="35"/>
      <x:c r="F98" s="27"/>
      <x:c r="G98" s="27"/>
      <x:c r="H98" s="27"/>
    </x:row>
    <x:row r="99" ht="24" customHeight="1">
      <x:c r="B99" s="27"/>
      <x:c r="C99" s="34"/>
      <x:c r="D99" s="35"/>
      <x:c r="E99" s="35"/>
      <x:c r="F99" s="27"/>
      <x:c r="G99" s="27"/>
      <x:c r="H99" s="27"/>
    </x:row>
    <x:row r="100" ht="24" customHeight="1">
      <x:c r="B100" s="27"/>
      <x:c r="C100" s="34"/>
      <x:c r="D100" s="35"/>
      <x:c r="E100" s="35"/>
      <x:c r="F100" s="27"/>
      <x:c r="G100" s="27"/>
      <x:c r="H100" s="27"/>
    </x:row>
    <x:row r="101" ht="24" customHeight="1">
      <x:c r="B101" s="27"/>
      <x:c r="C101" s="34"/>
      <x:c r="D101" s="35"/>
      <x:c r="E101" s="35"/>
      <x:c r="F101" s="27"/>
      <x:c r="G101" s="27"/>
      <x:c r="H101" s="27"/>
    </x:row>
    <x:row r="102" ht="24" customHeight="1">
      <x:c r="B102" s="27"/>
      <x:c r="C102" s="34"/>
      <x:c r="D102" s="35"/>
      <x:c r="E102" s="35"/>
      <x:c r="F102" s="27"/>
      <x:c r="G102" s="27"/>
      <x:c r="H102" s="27"/>
    </x:row>
    <x:row r="103" ht="24" customHeight="1">
      <x:c r="B103" s="27"/>
      <x:c r="C103" s="34"/>
      <x:c r="D103" s="35"/>
      <x:c r="E103" s="35"/>
      <x:c r="F103" s="27"/>
      <x:c r="G103" s="27"/>
      <x:c r="H103" s="27"/>
    </x:row>
    <x:row r="104" ht="24" customHeight="1">
      <x:c r="B104" s="27"/>
      <x:c r="C104" s="34"/>
      <x:c r="D104" s="35"/>
      <x:c r="E104" s="35"/>
      <x:c r="F104" s="27"/>
      <x:c r="G104" s="27"/>
      <x:c r="H104" s="27"/>
    </x:row>
  </x:sheetData>
  <x:conditionalFormatting sqref="C10:C52">
    <x:cfRule type="containsText" dxfId="0" priority="1" operator="containsText" text="Missing"/>
  </x:conditionalFormatting>
  <x:dataValidations count="5">
    <x:dataValidation type="list" sqref="C4">
      <x:formula1>"Fictional example,Your order"</x:formula1>
    </x:dataValidation>
    <x:dataValidation type="list" sqref="D51:E51">
      <x:formula1>"Yes,No"</x:formula1>
    </x:dataValidation>
    <x:dataValidation type="list" sqref="D52:E52">
      <x:formula1>"Yes,No"</x:formula1>
    </x:dataValidation>
    <x:dataValidation type="list" sqref="F59:F78">
      <x:formula1>"Separate,Already in order"</x:formula1>
    </x:dataValidation>
    <x:dataValidation type="list" sqref="F85:F104">
      <x:formula1>"Separate,Already in order"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9" hidden="0" customWidth="1"/>
    <x:col min="4" max="4" width="19" hidden="0" customWidth="1"/>
    <x:col min="5" max="5" width="19" hidden="0" customWidth="1"/>
    <x:col min="6" max="6" width="3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2"/>
      <x:c r="B2" s="3" t="str">
        <x:v>Channel Contribution</x:v>
      </x:c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/>
      <x:c r="B4" s="2" t="str">
        <x:v>Mode selected</x:v>
      </x:c>
      <x:c r="C4" s="5" t="str">
        <x:f>'Inputs'!C4</x:f>
        <x:v>Fictional example</x:v>
      </x:c>
      <x:c r="D4" s="5"/>
      <x:c r="E4" s="5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/>
      <x:c r="B6" s="2" t="str">
        <x:v>Input status</x:v>
      </x:c>
      <x:c r="C6" s="5" t="str">
        <x:f>IF(COUNT('Inputs'!C10:C18)&lt;&gt;9,"Missing / invalid",IF(AND(COUNT('Inputs'!C10:C18)=9,'Inputs'!C10&gt;0,MOD('Inputs'!C10,1)=0,MIN('Inputs'!C11:C18)&gt;=0,'Inputs'!C12&lt;=1),"Complete","Missing / invalid"))</x:f>
        <x:v>Complete</x:v>
      </x:c>
      <x:c r="D6" s="2"/>
      <x:c r="E6" s="5" t="str">
        <x:f>IF(COUNT('Inputs'!C10,'Inputs'!C20:C28)&lt;&gt;10,"Missing / invalid",IF(AND(ISNUMBER('Inputs'!C10),'Inputs'!C10&gt;0,MOD('Inputs'!C10,1)=0,COUNT('Inputs'!C20:C28)=9,MIN('Inputs'!C20:C28)&gt;=0,'Inputs'!C21&lt;=1,'Inputs'!C26&lt;=1),"Complete","Missing / invalid"))</x:f>
        <x:v>Complete</x:v>
      </x:c>
      <x:c r="F6" s="2"/>
      <x:c r="G6" s="2"/>
      <x:c r="H6" s="2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/>
      <x:c r="B8" s="10" t="str">
        <x:v>USD for ordered units</x:v>
      </x:c>
      <x:c r="C8" s="10" t="str">
        <x:v>DTC</x:v>
      </x:c>
      <x:c r="D8" s="10"/>
      <x:c r="E8" s="10" t="str">
        <x:v>Wholesale</x:v>
      </x:c>
      <x:c r="F8" s="2"/>
      <x:c r="G8" s="2"/>
      <x:c r="H8" s="2"/>
      <x:c r="I8" s="2"/>
      <x:c r="J8" s="2"/>
    </x:row>
    <x:row r="9" ht="23" customHeight="1">
      <x:c r="A9" s="2"/>
      <x:c r="B9" s="2" t="str">
        <x:v>Ordered units</x:v>
      </x:c>
      <x:c r="C9" s="39" t="n">
        <x:f>IF(C$6&lt;&gt;"Complete","n.a.",'Inputs'!C10)</x:f>
        <x:v>1000</x:v>
      </x:c>
      <x:c r="D9" s="40"/>
      <x:c r="E9" s="39" t="n">
        <x:f>IF(E$6&lt;&gt;"Complete","n.a.",'Inputs'!C10)</x:f>
        <x:v>1000</x:v>
      </x:c>
      <x:c r="F9" s="2"/>
      <x:c r="G9" s="2"/>
      <x:c r="H9" s="2"/>
      <x:c r="I9" s="2"/>
      <x:c r="J9" s="2"/>
    </x:row>
    <x:row r="10" ht="23" customHeight="1">
      <x:c r="A10" s="2"/>
      <x:c r="B10" s="2" t="str">
        <x:v>Gross sales</x:v>
      </x:c>
      <x:c r="C10" s="36" t="n">
        <x:f>IF(C$6&lt;&gt;"Complete","n.a.",C9*'Inputs'!C11)</x:f>
        <x:v>100000</x:v>
      </x:c>
      <x:c r="D10" s="37"/>
      <x:c r="E10" s="36" t="n">
        <x:f>IF(E$6&lt;&gt;"Complete","n.a.",E9*'Inputs'!C20)</x:f>
        <x:v>50000</x:v>
      </x:c>
      <x:c r="F10" s="2"/>
      <x:c r="G10" s="2" t="str">
        <x:v>Cost rows are positive amounts deducted from net sales.</x:v>
      </x:c>
      <x:c r="H10" s="2"/>
      <x:c r="I10" s="2"/>
      <x:c r="J10" s="2"/>
    </x:row>
    <x:row r="11" ht="23" customHeight="1">
      <x:c r="A11" s="2"/>
      <x:c r="B11" s="2" t="str">
        <x:v>Discounts, refunds and allowances</x:v>
      </x:c>
      <x:c r="C11" s="36" t="n">
        <x:f>IF(C$6&lt;&gt;"Complete","n.a.",C10*'Inputs'!C12)</x:f>
        <x:v>10000</x:v>
      </x:c>
      <x:c r="D11" s="37"/>
      <x:c r="E11" s="36" t="n">
        <x:f>IF(E$6&lt;&gt;"Complete","n.a.",E10*'Inputs'!C21)</x:f>
        <x:v>2500</x:v>
      </x:c>
      <x:c r="F11" s="2"/>
      <x:c r="G11" s="2"/>
      <x:c r="H11" s="2"/>
      <x:c r="I11" s="2"/>
      <x:c r="J11" s="2"/>
    </x:row>
    <x:row r="12" ht="23" customHeight="1">
      <x:c r="A12" s="2"/>
      <x:c r="B12" s="49" t="str">
        <x:v>Net sales</x:v>
      </x:c>
      <x:c r="C12" s="50" t="n">
        <x:f>IF(C$6&lt;&gt;"Complete","n.a.",C10-C11)</x:f>
        <x:v>90000</x:v>
      </x:c>
      <x:c r="D12" s="51"/>
      <x:c r="E12" s="50" t="n">
        <x:f>IF(E$6&lt;&gt;"Complete","n.a.",E10-E11)</x:f>
        <x:v>47500</x:v>
      </x:c>
      <x:c r="F12" s="2"/>
      <x:c r="G12" s="2" t="str">
        <x:v>DTC and wholesale represent alternative routes for the same units.</x:v>
      </x:c>
      <x:c r="H12" s="2"/>
      <x:c r="I12" s="2"/>
      <x:c r="J12" s="2"/>
    </x:row>
    <x:row r="13" ht="23" customHeight="1">
      <x:c r="A13" s="2"/>
      <x:c r="B13" s="2"/>
      <x:c r="C13" s="37"/>
      <x:c r="D13" s="37"/>
      <x:c r="E13" s="37"/>
      <x:c r="F13" s="2"/>
      <x:c r="G13" s="2"/>
      <x:c r="H13" s="2"/>
      <x:c r="I13" s="2"/>
      <x:c r="J13" s="2"/>
    </x:row>
    <x:row r="14" ht="23" customHeight="1">
      <x:c r="A14" s="2"/>
      <x:c r="B14" s="2" t="str">
        <x:v>Product cost</x:v>
      </x:c>
      <x:c r="C14" s="36" t="n">
        <x:f>IF(C$6&lt;&gt;"Complete","n.a.",C9*'Inputs'!C13)</x:f>
        <x:v>20000</x:v>
      </x:c>
      <x:c r="D14" s="37"/>
      <x:c r="E14" s="36" t="n">
        <x:f>IF(E$6&lt;&gt;"Complete","n.a.",E9*'Inputs'!C22*(1+'Inputs'!C28))</x:f>
        <x:v>20000</x:v>
      </x:c>
      <x:c r="F14" s="2"/>
      <x:c r="G14" s="2" t="str">
        <x:v>Wholesale freight includes fulfillment; separate fulfillment is zero.</x:v>
      </x:c>
      <x:c r="H14" s="2"/>
      <x:c r="I14" s="2"/>
      <x:c r="J14" s="2"/>
    </x:row>
    <x:row r="15" ht="23" customHeight="1">
      <x:c r="A15" s="2"/>
      <x:c r="B15" s="2" t="str">
        <x:v>Freight and included fulfillment</x:v>
      </x:c>
      <x:c r="C15" s="36" t="n">
        <x:f>IF(C$6&lt;&gt;"Complete","n.a.",'Inputs'!C14)</x:f>
        <x:v>9000</x:v>
      </x:c>
      <x:c r="D15" s="37"/>
      <x:c r="E15" s="36" t="n">
        <x:f>IF(E$6&lt;&gt;"Complete","n.a.",'Inputs'!C23)</x:f>
        <x:v>3000</x:v>
      </x:c>
      <x:c r="F15" s="2"/>
      <x:c r="G15" s="2"/>
      <x:c r="H15" s="2"/>
      <x:c r="I15" s="2"/>
      <x:c r="J15" s="2"/>
    </x:row>
    <x:row r="16" ht="23" customHeight="1">
      <x:c r="A16" s="2"/>
      <x:c r="B16" s="2" t="str">
        <x:v>Separate fulfillment</x:v>
      </x:c>
      <x:c r="C16" s="36" t="n">
        <x:f>IF(C$6&lt;&gt;"Complete","n.a.",'Inputs'!C15)</x:f>
        <x:v>3000</x:v>
      </x:c>
      <x:c r="D16" s="37"/>
      <x:c r="E16" s="38" t="n">
        <x:f>IF(E$6&lt;&gt;"Complete","n.a.",0)</x:f>
        <x:v>0</x:v>
      </x:c>
      <x:c r="F16" s="2"/>
      <x:c r="G16" s="2" t="str">
        <x:v>Taxes, financing, overhead and replenishment are cash-only below.</x:v>
      </x:c>
      <x:c r="H16" s="2"/>
      <x:c r="I16" s="2"/>
      <x:c r="J16" s="2"/>
    </x:row>
    <x:row r="17" ht="23" customHeight="1">
      <x:c r="A17" s="2"/>
      <x:c r="B17" s="2" t="str">
        <x:v>Payment fees</x:v>
      </x:c>
      <x:c r="C17" s="36" t="n">
        <x:f>IF(C$6&lt;&gt;"Complete","n.a.",'Inputs'!C16)</x:f>
        <x:v>3000</x:v>
      </x:c>
      <x:c r="D17" s="37"/>
      <x:c r="E17" s="36" t="n">
        <x:f>IF(E$6&lt;&gt;"Complete","n.a.",'Inputs'!C24)</x:f>
        <x:v>0</x:v>
      </x:c>
      <x:c r="F17" s="2"/>
      <x:c r="G17" s="2"/>
      <x:c r="H17" s="2"/>
      <x:c r="I17" s="2"/>
      <x:c r="J17" s="2"/>
    </x:row>
    <x:row r="18" ht="23" customHeight="1">
      <x:c r="A18" s="2"/>
      <x:c r="B18" s="2" t="str">
        <x:v>Returns processing</x:v>
      </x:c>
      <x:c r="C18" s="36" t="n">
        <x:f>IF(C$6&lt;&gt;"Complete","n.a.",'Inputs'!C17)</x:f>
        <x:v>2000</x:v>
      </x:c>
      <x:c r="D18" s="37"/>
      <x:c r="E18" s="36" t="n">
        <x:f>IF(E$6&lt;&gt;"Complete","n.a.",'Inputs'!C25)</x:f>
        <x:v>0</x:v>
      </x:c>
      <x:c r="F18" s="2"/>
      <x:c r="G18" s="2" t="str">
        <x:v>A high percentage does not choose the order decision.</x:v>
      </x:c>
      <x:c r="H18" s="2"/>
      <x:c r="I18" s="2"/>
      <x:c r="J18" s="2"/>
    </x:row>
    <x:row r="19" ht="23" customHeight="1">
      <x:c r="A19" s="2"/>
      <x:c r="B19" s="2" t="str">
        <x:v>Acquisition / commission</x:v>
      </x:c>
      <x:c r="C19" s="36" t="n">
        <x:f>IF(C$6&lt;&gt;"Complete","n.a.",'Inputs'!C18)</x:f>
        <x:v>25000</x:v>
      </x:c>
      <x:c r="D19" s="37"/>
      <x:c r="E19" s="36" t="n">
        <x:f>IF(E$6&lt;&gt;"Complete","n.a.",E12*'Inputs'!C26)</x:f>
        <x:v>2375</x:v>
      </x:c>
      <x:c r="F19" s="2"/>
      <x:c r="G19" s="2"/>
      <x:c r="H19" s="2"/>
      <x:c r="I19" s="2"/>
      <x:c r="J19" s="2"/>
    </x:row>
    <x:row r="20" ht="23" customHeight="1">
      <x:c r="A20" s="2"/>
      <x:c r="B20" s="2" t="str">
        <x:v>Other variable costs</x:v>
      </x:c>
      <x:c r="C20" s="38" t="n">
        <x:f>IF(C$6&lt;&gt;"Complete","n.a.",0)</x:f>
        <x:v>0</x:v>
      </x:c>
      <x:c r="D20" s="37"/>
      <x:c r="E20" s="36" t="n">
        <x:f>IF(E$6&lt;&gt;"Complete","n.a.",'Inputs'!C27)</x:f>
        <x:v>0</x:v>
      </x:c>
      <x:c r="F20" s="2"/>
      <x:c r="G20" s="2"/>
      <x:c r="H20" s="2"/>
      <x:c r="I20" s="2"/>
      <x:c r="J20" s="2"/>
    </x:row>
    <x:row r="21" ht="23" customHeight="1">
      <x:c r="A21" s="2"/>
      <x:c r="B21" s="49" t="str">
        <x:v>Total variable costs</x:v>
      </x:c>
      <x:c r="C21" s="50" t="n">
        <x:f>IF(C$6&lt;&gt;"Complete","n.a.",SUM(C14:C20))</x:f>
        <x:v>62000</x:v>
      </x:c>
      <x:c r="D21" s="51"/>
      <x:c r="E21" s="50" t="n">
        <x:f>IF(E$6&lt;&gt;"Complete","n.a.",SUM(E14:E20))</x:f>
        <x:v>25375</x:v>
      </x:c>
      <x:c r="F21" s="2"/>
      <x:c r="G21" s="2"/>
      <x:c r="H21" s="2"/>
      <x:c r="I21" s="2"/>
      <x:c r="J21" s="2"/>
    </x:row>
    <x:row r="22" ht="23" customHeight="1">
      <x:c r="A22" s="2"/>
      <x:c r="B22" s="2"/>
      <x:c r="C22" s="37"/>
      <x:c r="D22" s="37"/>
      <x:c r="E22" s="37"/>
      <x:c r="F22" s="2"/>
      <x:c r="G22" s="2"/>
      <x:c r="H22" s="2"/>
      <x:c r="I22" s="2"/>
      <x:c r="J22" s="2"/>
    </x:row>
    <x:row r="23" ht="23" customHeight="1">
      <x:c r="A23" s="2"/>
      <x:c r="B23" s="49" t="str">
        <x:v>Contribution before fixed costs</x:v>
      </x:c>
      <x:c r="C23" s="50" t="n">
        <x:f>IF(C$6&lt;&gt;"Complete","n.a.",C12-C21)</x:f>
        <x:v>28000</x:v>
      </x:c>
      <x:c r="D23" s="51"/>
      <x:c r="E23" s="50" t="n">
        <x:f>IF(E$6&lt;&gt;"Complete","n.a.",E12-E21)</x:f>
        <x:v>22125</x:v>
      </x:c>
      <x:c r="F23" s="2"/>
      <x:c r="G23" s="2"/>
      <x:c r="H23" s="2"/>
      <x:c r="I23" s="2"/>
      <x:c r="J23" s="2"/>
    </x:row>
    <x:row r="24" ht="23" customHeight="1">
      <x:c r="A24" s="2"/>
      <x:c r="B24" s="52" t="str">
        <x:v>Contribution / net sales</x:v>
      </x:c>
      <x:c r="C24" s="53" t="n">
        <x:f>IF(C$6&lt;&gt;"Complete","n.a.",IF(C12=0,"n.a.",C23/C12))</x:f>
        <x:v>0.3111111111111111</x:v>
      </x:c>
      <x:c r="D24" s="54"/>
      <x:c r="E24" s="53" t="n">
        <x:f>IF(E$6&lt;&gt;"Complete","n.a.",IF(E12=0,"n.a.",E23/E12))</x:f>
        <x:v>0.46578947368421053</x:v>
      </x:c>
      <x:c r="F24" s="2"/>
      <x:c r="G24" s="2"/>
      <x:c r="H24" s="2"/>
      <x:c r="I24" s="2"/>
      <x:c r="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/>
      <x:c r="B27" s="55" t="str">
        <x:v>Wholesale order cash bridge</x:v>
      </x:c>
      <x:c r="C27" s="55"/>
      <x:c r="D27" s="55"/>
      <x:c r="E27" s="55"/>
      <x:c r="F27" s="2"/>
      <x:c r="G27" s="2"/>
      <x:c r="H27" s="2"/>
      <x:c r="I27" s="2"/>
      <x:c r="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/>
      <x:c r="B29" s="2" t="str">
        <x:v>Contribution</x:v>
      </x:c>
      <x:c r="C29" s="2"/>
      <x:c r="D29" s="2"/>
      <x:c r="E29" s="36" t="n">
        <x:f>'Channel Contribution'!E23</x:f>
        <x:v>22125</x:v>
      </x:c>
      <x:c r="F29" s="2"/>
      <x:c r="G29" s="2"/>
      <x:c r="H29" s="2"/>
      <x:c r="I29" s="2"/>
      <x:c r="J29" s="2"/>
    </x:row>
    <x:row r="30" ht="23" customHeight="1">
      <x:c r="A30" s="2"/>
      <x:c r="B30" s="2" t="str">
        <x:v>Less incremental taxes</x:v>
      </x:c>
      <x:c r="C30" s="2"/>
      <x:c r="D30" s="2"/>
      <x:c r="E30" s="36" t="n">
        <x:f>IF(ISNUMBER('Inputs'!C40),'Inputs'!C40,"n.a.")</x:f>
        <x:v>0</x:v>
      </x:c>
      <x:c r="F30" s="2"/>
      <x:c r="G30" s="2"/>
      <x:c r="H30" s="2"/>
      <x:c r="I30" s="2"/>
      <x:c r="J30" s="2"/>
    </x:row>
    <x:row r="31" ht="23" customHeight="1">
      <x:c r="A31" s="2"/>
      <x:c r="B31" s="2" t="str">
        <x:v>Less financing fees / interest</x:v>
      </x:c>
      <x:c r="C31" s="2"/>
      <x:c r="D31" s="2"/>
      <x:c r="E31" s="36" t="n">
        <x:f>IF(ISNUMBER('Inputs'!C42),'Inputs'!C42,"n.a.")</x:f>
        <x:v>0</x:v>
      </x:c>
      <x:c r="F31" s="2"/>
      <x:c r="G31" s="2"/>
      <x:c r="H31" s="2"/>
      <x:c r="I31" s="2"/>
      <x:c r="J31" s="2"/>
    </x:row>
    <x:row r="32" ht="23" customHeight="1">
      <x:c r="A32" s="2"/>
      <x:c r="B32" s="2" t="str">
        <x:v>Less incremental fixed overhead</x:v>
      </x:c>
      <x:c r="C32" s="2"/>
      <x:c r="D32" s="2"/>
      <x:c r="E32" s="36" t="n">
        <x:f>IF(ISNUMBER('Inputs'!C44),'Inputs'!C44,"n.a.")</x:f>
        <x:v>0</x:v>
      </x:c>
      <x:c r="F32" s="2"/>
      <x:c r="G32" s="2"/>
      <x:c r="H32" s="2"/>
      <x:c r="I32" s="2"/>
      <x:c r="J32" s="2"/>
    </x:row>
    <x:row r="33" ht="23" customHeight="1">
      <x:c r="A33" s="2"/>
      <x:c r="B33" s="2" t="str">
        <x:v>Less replenishment cash</x:v>
      </x:c>
      <x:c r="C33" s="2"/>
      <x:c r="D33" s="2"/>
      <x:c r="E33" s="36" t="n">
        <x:f>IF(ISNUMBER('Inputs'!C38),'Inputs'!C38,"n.a.")</x:f>
        <x:v>0</x:v>
      </x:c>
      <x:c r="F33" s="2"/>
      <x:c r="G33" s="2"/>
      <x:c r="H33" s="2"/>
      <x:c r="I33" s="2"/>
      <x:c r="J33" s="2"/>
    </x:row>
    <x:row r="34" ht="23" customHeight="1">
      <x:c r="A34" s="2"/>
      <x:c r="B34" s="2" t="str">
        <x:v>Expected final order cash</x:v>
      </x:c>
      <x:c r="C34" s="2"/>
      <x:c r="D34" s="2"/>
      <x:c r="E34" s="38" t="n">
        <x:f>IF(COUNT(E29:E33)=5,E29-SUM(E30:E33),"n.a.")</x:f>
        <x:v>22125</x:v>
      </x:c>
      <x:c r="F34" s="2"/>
      <x:c r="G34" s="2"/>
      <x:c r="H34" s="2"/>
      <x:c r="I34" s="2"/>
      <x:c r="J34" s="2"/>
    </x:row>
    <x:row r="35" ht="23" customHeight="1">
      <x:c r="A35" s="2"/>
      <x:c r="B35" s="2" t="str">
        <x:v>Cash schedule less expected cash</x:v>
      </x:c>
      <x:c r="C35" s="2"/>
      <x:c r="D35" s="2"/>
      <x:c r="E35" s="56" t="n">
        <x:f>IF(AND(ISNUMBER(E34),ISNUMBER('Dated Cash Flows'!H9)),'Dated Cash Flows'!H9-E34,"n.a.")</x:f>
        <x:v>0</x:v>
      </x:c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8" t="str">
        <x:v>Final cash equals contribution only after all modeled order receipts and costs settle.</x:v>
      </x:c>
      <x:c r="C38" s="8"/>
      <x:c r="D38" s="8"/>
      <x:c r="E38" s="8"/>
      <x:c r="F38" s="8"/>
      <x:c r="G38" s="8"/>
      <x:c r="H38" s="8"/>
      <x:c r="I38" s="8"/>
      <x:c r="J38" s="8"/>
    </x:row>
    <x:row r="39" ht="23" customHeight="1">
      <x:c r="A39" s="2"/>
      <x:c r="B39" s="8" t="str">
        <x:v>Replenishment buys future inventory. Its cash outlay is not this order’s variable cost.</x:v>
      </x:c>
      <x:c r="C39" s="8"/>
      <x:c r="D39" s="8"/>
      <x:c r="E39" s="8"/>
      <x:c r="F39" s="8"/>
      <x:c r="G39" s="8"/>
      <x:c r="H39" s="8"/>
      <x:c r="I39" s="8"/>
      <x:c r="J39" s="8"/>
    </x:row>
    <x:row r="40" ht="23" customHeight="1">
      <x:c r="A40" s="2"/>
      <x:c r="B40" s="8" t="str">
        <x:v>No inventory recovery, income tax accrual, financing principal or tax liability is inferred.</x:v>
      </x:c>
      <x:c r="C40" s="8"/>
      <x:c r="D40" s="8"/>
      <x:c r="E40" s="8"/>
      <x:c r="F40" s="8"/>
      <x:c r="G40" s="8"/>
      <x:c r="H40" s="8"/>
      <x:c r="I40" s="8"/>
      <x:c r="J40" s="8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3" t="str">
        <x:v>Wholesale and company cash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</x:row>
    <x:row r="4" ht="23" customHeight="1">
      <x:c r="A4" s="2"/>
      <x:c r="B4" s="2" t="str">
        <x:v>Mode selected</x:v>
      </x:c>
      <x:c r="C4" s="5" t="str">
        <x:f>'Inputs'!C4</x:f>
        <x:v>Fictional example</x:v>
      </x:c>
      <x:c r="D4" s="5"/>
      <x:c r="E4" s="5"/>
      <x:c r="F4" s="2"/>
      <x:c r="G4" s="2"/>
      <x:c r="H4" s="2"/>
      <x:c r="I4" s="2"/>
      <x:c r="J4" s="2"/>
      <x:c r="K4" s="2"/>
      <x:c r="L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8" customHeight="1">
      <x:c r="A6" s="2"/>
      <x:c r="B6" s="2" t="str">
        <x:v>Order timing</x:v>
      </x:c>
      <x:c r="C6" s="2"/>
      <x:c r="D6" s="59" t="str">
        <x:f>IF(OR(COUNT('Inputs'!C30,'Inputs'!C32,'Inputs'!C33,'Inputs'!C37,'Inputs'!C41,'Inputs'!C43,'Inputs'!C45,'Inputs'!C47,'Inputs'!C50,'Inputs'!C31,'Inputs'!C34,'Inputs'!C35,'Inputs'!C36,'Inputs'!C38,'Inputs'!C40,'Inputs'!C42,'Inputs'!C44)&lt;&gt;17,NOT(ISNUMBER(D9))),"Missing / invalid dates or terms",IF(AND('Channel Contribution'!E6="Complete",MIN('Inputs'!C30,'Inputs'!C32,'Inputs'!C33,'Inputs'!C37,'Inputs'!C41,'Inputs'!C43,'Inputs'!C45,'Inputs'!C47,'Inputs'!C50,'Inputs'!C31,'Inputs'!C34,'Inputs'!C35,'Inputs'!C36,'Inputs'!C38,'Inputs'!C40,'Inputs'!C42,'Inputs'!C44)&gt;=0,'Inputs'!C31&lt;=1,'Inputs'!C30&lt;='Inputs'!C32,'Inputs'!C32&lt;='Inputs'!C33,MIN('Inputs'!C30,'Inputs'!C32,'Inputs'!C33,'Inputs'!C37,'Inputs'!C41,'Inputs'!C43,'Inputs'!C45,'Inputs'!C47,'Inputs'!C50)&gt;='Inputs'!C47,ISNUMBER(D9),D9-'Inputs'!C47&lt;=730,MOD('Inputs'!C34,1)=0,MOD('Inputs'!C35,1)=0,MOD('Inputs'!C36,1)=0,MOD('Inputs'!C30,1)=0,MOD('Inputs'!C32,1)=0,MOD('Inputs'!C33,1)=0,MOD('Inputs'!C37,1)=0,MOD('Inputs'!C41,1)=0,MOD('Inputs'!C43,1)=0,MOD('Inputs'!C45,1)=0,MOD('Inputs'!C47,1)=0,MOD('Inputs'!C50,1)=0),"Complete","Missing / invalid dates or terms"))</x:f>
        <x:v>Complete</x:v>
      </x:c>
      <x:c r="E6" s="62"/>
      <x:c r="F6" s="62"/>
      <x:c r="G6" s="2" t="str">
        <x:v>Company overlay</x:v>
      </x:c>
      <x:c r="H6" s="2"/>
      <x:c r="I6" s="59" t="str">
        <x:f>IF(AND(D6="Complete",COUNT('Inputs'!C48:C49)=2,'Inputs'!C49&gt;=0,'Inputs'!C51="Yes",'Inputs'!C52="Yes",COUNTIFS(I32:I51,"Ready")+COUNTIFS(I32:I51,"Excluded duplicate")+COUNTIFS(I32:I51,"Unused")=20),"Complete","Review company inputs / rows")</x:f>
        <x:v>Complete</x:v>
      </x:c>
      <x:c r="J6" s="62"/>
      <x:c r="K6" s="62"/>
      <x:c r="L6" s="6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/>
      <x:c r="B8" s="2" t="str">
        <x:v>Collection date</x:v>
      </x:c>
      <x:c r="C8" s="2"/>
      <x:c r="D8" s="57" t="n">
        <x:f>IF(COUNT('Inputs'!C33:C35)=3,SUM('Inputs'!C33:C35),"n.a.")</x:f>
        <x:v>46406</x:v>
      </x:c>
      <x:c r="E8" s="2"/>
      <x:c r="F8" s="2" t="str">
        <x:v>Peak order outlay</x:v>
      </x:c>
      <x:c r="G8" s="2"/>
      <x:c r="H8" s="38" t="n">
        <x:f>IF(D6="Complete",MAX(0,-MIN(F70:F800)),"n.a.")</x:f>
        <x:v>23000</x:v>
      </x:c>
      <x:c r="I8" s="2"/>
      <x:c r="J8" s="2" t="str">
        <x:v>Days to collection</x:v>
      </x:c>
      <x:c r="K8" s="2"/>
      <x:c r="L8" s="5" t="n">
        <x:f>IF(D6="Complete",D8-'Inputs'!C30,"n.a.")</x:f>
        <x:v>120</x:v>
      </x:c>
    </x:row>
    <x:row r="9" ht="23" customHeight="1">
      <x:c r="A9" s="2"/>
      <x:c r="B9" s="2" t="str">
        <x:v>Forecast ends</x:v>
      </x:c>
      <x:c r="C9" s="2"/>
      <x:c r="D9" s="57" t="n">
        <x:f>IF(AND(ISNUMBER(D8),ISNUMBER('Inputs'!C50),ISNUMBER('Inputs'!C36)),MAX('Inputs'!C50,'Inputs'!C30,'Inputs'!C32,'Inputs'!C33,D8+'Inputs'!C36,'Inputs'!C37,'Inputs'!C41,'Inputs'!C43,'Inputs'!C45,C32:C51),"n.a.")</x:f>
        <x:v>46466</x:v>
      </x:c>
      <x:c r="E9" s="2"/>
      <x:c r="F9" s="2" t="str">
        <x:v>Final order cash</x:v>
      </x:c>
      <x:c r="G9" s="2"/>
      <x:c r="H9" s="38" t="n">
        <x:f>IF(D6="Complete",SUM(F14:F23),"n.a.")</x:f>
        <x:v>22125</x:v>
      </x:c>
      <x:c r="I9" s="2"/>
      <x:c r="J9" s="2" t="str">
        <x:v>Lowest company cash</x:v>
      </x:c>
      <x:c r="K9" s="2"/>
      <x:c r="L9" s="36" t="n">
        <x:f>IF(I6="Complete",MIN('Inputs'!C48,I70:I800),"n.a.")</x:f>
        <x:v>57000</x:v>
      </x:c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3" customHeight="1">
      <x:c r="A11" s="2"/>
      <x:c r="B11" s="2" t="str">
        <x:v>Order cash events. Positive amounts in receipt/payment columns.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32" customHeight="1">
      <x:c r="A13" s="2"/>
      <x:c r="B13" s="11" t="str">
        <x:v>Order ID</x:v>
      </x:c>
      <x:c r="C13" s="11" t="str">
        <x:v>Date</x:v>
      </x:c>
      <x:c r="D13" s="11" t="str">
        <x:v>Receipts USD</x:v>
      </x:c>
      <x:c r="E13" s="11" t="str">
        <x:v>Payments USD</x:v>
      </x:c>
      <x:c r="F13" s="11" t="str">
        <x:v>Net cash USD</x:v>
      </x:c>
      <x:c r="G13" s="11" t="str">
        <x:v>Event</x:v>
      </x:c>
      <x:c r="H13" s="2"/>
      <x:c r="I13" s="2"/>
      <x:c r="J13" s="2"/>
      <x:c r="K13" s="2"/>
      <x:c r="L13" s="2"/>
    </x:row>
    <x:row r="14" ht="23" customHeight="1">
      <x:c r="A14" s="2"/>
      <x:c r="B14" s="2" t="str">
        <x:v>ORD-DEPOSIT</x:v>
      </x:c>
      <x:c r="C14" s="57" t="n">
        <x:f>IF($D$6="Complete",'Inputs'!C30,"n.a.")</x:f>
        <x:v>46286</x:v>
      </x:c>
      <x:c r="D14" s="38" t="n">
        <x:f>IF($D$6="Complete",0,"n.a.")</x:f>
        <x:v>0</x:v>
      </x:c>
      <x:c r="E14" s="36" t="n">
        <x:f>IF($D$6="Complete",'Channel Contribution'!E14*'Inputs'!C31,"n.a.")</x:f>
        <x:v>6000</x:v>
      </x:c>
      <x:c r="F14" s="38" t="n">
        <x:f>IF($D$6="Complete",D14-E14,"n.a.")</x:f>
        <x:v>-6000</x:v>
      </x:c>
      <x:c r="G14" s="2" t="str">
        <x:v>Supplier deposit</x:v>
      </x:c>
      <x:c r="H14" s="2"/>
      <x:c r="I14" s="2"/>
      <x:c r="J14" s="2"/>
      <x:c r="K14" s="2"/>
      <x:c r="L14" s="2"/>
    </x:row>
    <x:row r="15" ht="23" customHeight="1">
      <x:c r="A15" s="2"/>
      <x:c r="B15" s="2" t="str">
        <x:v>ORD-BALANCE</x:v>
      </x:c>
      <x:c r="C15" s="57" t="n">
        <x:f>IF($D$6="Complete",'Inputs'!C32,"n.a.")</x:f>
        <x:v>46331</x:v>
      </x:c>
      <x:c r="D15" s="38" t="n">
        <x:f>IF($D$6="Complete",0,"n.a.")</x:f>
        <x:v>0</x:v>
      </x:c>
      <x:c r="E15" s="36" t="n">
        <x:f>IF($D$6="Complete",'Channel Contribution'!E14-E14,"n.a.")</x:f>
        <x:v>14000</x:v>
      </x:c>
      <x:c r="F15" s="38" t="n">
        <x:f>IF($D$6="Complete",D15-E15,"n.a.")</x:f>
        <x:v>-14000</x:v>
      </x:c>
      <x:c r="G15" s="2" t="str">
        <x:v>Supplier balance</x:v>
      </x:c>
      <x:c r="H15" s="2"/>
      <x:c r="I15" s="2"/>
      <x:c r="J15" s="2"/>
      <x:c r="K15" s="2"/>
      <x:c r="L15" s="2"/>
    </x:row>
    <x:row r="16" ht="23" customHeight="1">
      <x:c r="A16" s="2"/>
      <x:c r="B16" s="2" t="str">
        <x:v>ORD-FREIGHT</x:v>
      </x:c>
      <x:c r="C16" s="57" t="n">
        <x:f>IF($D$6="Complete",'Inputs'!C33,"n.a.")</x:f>
        <x:v>46346</x:v>
      </x:c>
      <x:c r="D16" s="38" t="n">
        <x:f>IF($D$6="Complete",0,"n.a.")</x:f>
        <x:v>0</x:v>
      </x:c>
      <x:c r="E16" s="36" t="n">
        <x:f>IF($D$6="Complete",'Channel Contribution'!E15,"n.a.")</x:f>
        <x:v>3000</x:v>
      </x:c>
      <x:c r="F16" s="38" t="n">
        <x:f>IF($D$6="Complete",D16-E16,"n.a.")</x:f>
        <x:v>-3000</x:v>
      </x:c>
      <x:c r="G16" s="2" t="str">
        <x:v>Freight / fulfillment</x:v>
      </x:c>
      <x:c r="H16" s="2"/>
      <x:c r="I16" s="2"/>
      <x:c r="J16" s="2"/>
      <x:c r="K16" s="2"/>
      <x:c r="L16" s="2"/>
    </x:row>
    <x:row r="17" ht="23" customHeight="1">
      <x:c r="A17" s="2"/>
      <x:c r="B17" s="2" t="str">
        <x:v>ORD-COLLECT</x:v>
      </x:c>
      <x:c r="C17" s="58" t="n">
        <x:f>IF($D$6="Complete",$D$8,"n.a.")</x:f>
        <x:v>46406</x:v>
      </x:c>
      <x:c r="D17" s="36" t="n">
        <x:f>IF($D$6="Complete",'Channel Contribution'!E12,"n.a.")</x:f>
        <x:v>47500</x:v>
      </x:c>
      <x:c r="E17" s="38" t="n">
        <x:f>IF($D$6="Complete",0,"n.a.")</x:f>
        <x:v>0</x:v>
      </x:c>
      <x:c r="F17" s="38" t="n">
        <x:f>IF($D$6="Complete",D17-E17,"n.a.")</x:f>
        <x:v>47500</x:v>
      </x:c>
      <x:c r="G17" s="2" t="str">
        <x:v>Customer collection</x:v>
      </x:c>
      <x:c r="H17" s="2"/>
      <x:c r="I17" s="2"/>
      <x:c r="J17" s="2"/>
      <x:c r="K17" s="2"/>
      <x:c r="L17" s="2"/>
    </x:row>
    <x:row r="18" ht="23" customHeight="1">
      <x:c r="A18" s="2"/>
      <x:c r="B18" s="2" t="str">
        <x:v>ORD-COMMISSION</x:v>
      </x:c>
      <x:c r="C18" s="57" t="n">
        <x:f>IF($D$6="Complete",$D$8+'Inputs'!C36,"n.a.")</x:f>
        <x:v>46406</x:v>
      </x:c>
      <x:c r="D18" s="38" t="n">
        <x:f>IF($D$6="Complete",0,"n.a.")</x:f>
        <x:v>0</x:v>
      </x:c>
      <x:c r="E18" s="36" t="n">
        <x:f>IF($D$6="Complete",'Channel Contribution'!E19,"n.a.")</x:f>
        <x:v>2375</x:v>
      </x:c>
      <x:c r="F18" s="38" t="n">
        <x:f>IF($D$6="Complete",D18-E18,"n.a.")</x:f>
        <x:v>-2375</x:v>
      </x:c>
      <x:c r="G18" s="2" t="str">
        <x:v>Commission</x:v>
      </x:c>
      <x:c r="H18" s="2"/>
      <x:c r="I18" s="2"/>
      <x:c r="J18" s="2"/>
      <x:c r="K18" s="2"/>
      <x:c r="L18" s="2"/>
    </x:row>
    <x:row r="19" ht="23" customHeight="1">
      <x:c r="A19" s="2"/>
      <x:c r="B19" s="2" t="str">
        <x:v>ORD-OTHER</x:v>
      </x:c>
      <x:c r="C19" s="57" t="n">
        <x:f>IF($D$6="Complete",'Inputs'!C33,"n.a.")</x:f>
        <x:v>46346</x:v>
      </x:c>
      <x:c r="D19" s="38" t="n">
        <x:f>IF($D$6="Complete",0,"n.a.")</x:f>
        <x:v>0</x:v>
      </x:c>
      <x:c r="E19" s="36" t="n">
        <x:f>IF($D$6="Complete",SUM('Channel Contribution'!E17:E18,'Channel Contribution'!E20),"n.a.")</x:f>
        <x:v>0</x:v>
      </x:c>
      <x:c r="F19" s="38" t="n">
        <x:f>IF($D$6="Complete",D19-E19,"n.a.")</x:f>
        <x:v>0</x:v>
      </x:c>
      <x:c r="G19" s="2" t="str">
        <x:v>Fees / returns / other</x:v>
      </x:c>
      <x:c r="H19" s="2"/>
      <x:c r="I19" s="2"/>
      <x:c r="J19" s="2"/>
      <x:c r="K19" s="2"/>
      <x:c r="L19" s="2"/>
    </x:row>
    <x:row r="20" ht="23" customHeight="1">
      <x:c r="A20" s="2"/>
      <x:c r="B20" s="2" t="str">
        <x:v>ORD-TAX</x:v>
      </x:c>
      <x:c r="C20" s="57" t="n">
        <x:f>IF($D$6="Complete",'Inputs'!C41,"n.a.")</x:f>
        <x:v>46387</x:v>
      </x:c>
      <x:c r="D20" s="38" t="n">
        <x:f>IF($D$6="Complete",0,"n.a.")</x:f>
        <x:v>0</x:v>
      </x:c>
      <x:c r="E20" s="36" t="n">
        <x:f>IF($D$6="Complete",'Inputs'!C40,"n.a.")</x:f>
        <x:v>0</x:v>
      </x:c>
      <x:c r="F20" s="38" t="n">
        <x:f>IF($D$6="Complete",D20-E20,"n.a.")</x:f>
        <x:v>0</x:v>
      </x:c>
      <x:c r="G20" s="2" t="str">
        <x:v>Incremental tax</x:v>
      </x:c>
      <x:c r="H20" s="2"/>
      <x:c r="I20" s="2"/>
      <x:c r="J20" s="2"/>
      <x:c r="K20" s="2"/>
      <x:c r="L20" s="2"/>
    </x:row>
    <x:row r="21" ht="23" customHeight="1">
      <x:c r="A21" s="2"/>
      <x:c r="B21" s="2" t="str">
        <x:v>ORD-FINANCE</x:v>
      </x:c>
      <x:c r="C21" s="57" t="n">
        <x:f>IF($D$6="Complete",'Inputs'!C43,"n.a.")</x:f>
        <x:v>46406</x:v>
      </x:c>
      <x:c r="D21" s="38" t="n">
        <x:f>IF($D$6="Complete",0,"n.a.")</x:f>
        <x:v>0</x:v>
      </x:c>
      <x:c r="E21" s="36" t="n">
        <x:f>IF($D$6="Complete",'Inputs'!C42,"n.a.")</x:f>
        <x:v>0</x:v>
      </x:c>
      <x:c r="F21" s="38" t="n">
        <x:f>IF($D$6="Complete",D21-E21,"n.a.")</x:f>
        <x:v>0</x:v>
      </x:c>
      <x:c r="G21" s="2" t="str">
        <x:v>Financing cost</x:v>
      </x:c>
      <x:c r="H21" s="2"/>
      <x:c r="I21" s="2"/>
      <x:c r="J21" s="2"/>
      <x:c r="K21" s="2"/>
      <x:c r="L21" s="2"/>
    </x:row>
    <x:row r="22" ht="23" customHeight="1">
      <x:c r="A22" s="2"/>
      <x:c r="B22" s="2" t="str">
        <x:v>ORD-OVERHEAD</x:v>
      </x:c>
      <x:c r="C22" s="57" t="n">
        <x:f>IF($D$6="Complete",'Inputs'!C45,"n.a.")</x:f>
        <x:v>46387</x:v>
      </x:c>
      <x:c r="D22" s="38" t="n">
        <x:f>IF($D$6="Complete",0,"n.a.")</x:f>
        <x:v>0</x:v>
      </x:c>
      <x:c r="E22" s="36" t="n">
        <x:f>IF($D$6="Complete",'Inputs'!C44,"n.a.")</x:f>
        <x:v>0</x:v>
      </x:c>
      <x:c r="F22" s="38" t="n">
        <x:f>IF($D$6="Complete",D22-E22,"n.a.")</x:f>
        <x:v>0</x:v>
      </x:c>
      <x:c r="G22" s="2" t="str">
        <x:v>Incremental overhead</x:v>
      </x:c>
      <x:c r="H22" s="2"/>
      <x:c r="I22" s="2"/>
      <x:c r="J22" s="2"/>
      <x:c r="K22" s="2"/>
      <x:c r="L22" s="2"/>
    </x:row>
    <x:row r="23" ht="23" customHeight="1">
      <x:c r="A23" s="2"/>
      <x:c r="B23" s="2" t="str">
        <x:v>ORD-REPLENISH</x:v>
      </x:c>
      <x:c r="C23" s="57" t="n">
        <x:f>IF($D$6="Complete",'Inputs'!C37,"n.a.")</x:f>
        <x:v>46436</x:v>
      </x:c>
      <x:c r="D23" s="38" t="n">
        <x:f>IF($D$6="Complete",0,"n.a.")</x:f>
        <x:v>0</x:v>
      </x:c>
      <x:c r="E23" s="36" t="n">
        <x:f>IF($D$6="Complete",'Inputs'!C38,"n.a.")</x:f>
        <x:v>0</x:v>
      </x:c>
      <x:c r="F23" s="38" t="n">
        <x:f>IF($D$6="Complete",D23-E23,"n.a.")</x:f>
        <x:v>0</x:v>
      </x:c>
      <x:c r="G23" s="2" t="str">
        <x:v>Replenishment</x:v>
      </x:c>
      <x:c r="H23" s="2"/>
      <x:c r="I23" s="2"/>
      <x:c r="J23" s="2"/>
      <x:c r="K23" s="2"/>
      <x:c r="L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3" customHeight="1">
      <x:c r="A26" s="2"/>
      <x:c r="B26" s="2" t="str">
        <x:v>All model dates use calendar days. Confirm the contract trigger and each payment date.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A27" s="2"/>
      <x:c r="B27" s="2" t="str">
        <x:v>Daily balances net receipts and payments on the same date. Intraday liquidity is not modeled.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3" customHeight="1">
      <x:c r="A28" s="2"/>
      <x:c r="B28" s="2" t="str">
        <x:v>Two-year maximum horizon. Change missing/invalid dates in Inputs before using timing results.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32" customHeight="1">
      <x:c r="A30" s="2"/>
      <x:c r="B30" s="11" t="str">
        <x:v>Forecast ID</x:v>
      </x:c>
      <x:c r="C30" s="11" t="str">
        <x:v>Date</x:v>
      </x:c>
      <x:c r="D30" s="11" t="str">
        <x:v>Receipts USD</x:v>
      </x:c>
      <x:c r="E30" s="11" t="str">
        <x:v>Payments USD</x:v>
      </x:c>
      <x:c r="F30" s="11" t="str">
        <x:v>Handling</x:v>
      </x:c>
      <x:c r="G30" s="11" t="str">
        <x:v>Description</x:v>
      </x:c>
      <x:c r="H30" s="11" t="str">
        <x:v>Order ID link</x:v>
      </x:c>
      <x:c r="I30" s="11" t="str">
        <x:v>Row status</x:v>
      </x:c>
      <x:c r="J30" s="2"/>
      <x:c r="K30" s="2"/>
      <x:c r="L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52" customHeight="1">
      <x:c r="A32" s="2"/>
      <x:c r="B32" s="5" t="str">
        <x:f>IF('Inputs'!$C$4="Fictional example",IF(LEN('Inputs'!B59&amp;"")=0,"",'Inputs'!B59),IF(LEN('Inputs'!B85&amp;"")=0,"",'Inputs'!B85))</x:f>
        <x:v>PAYROLL-01</x:v>
      </x:c>
      <x:c r="C32" s="57" t="n">
        <x:f>IF('Inputs'!$C$4="Fictional example",IF(LEN('Inputs'!C59&amp;"")=0,"",'Inputs'!C59),IF(LEN('Inputs'!C85&amp;"")=0,"",'Inputs'!C85))</x:f>
        <x:v>46316</x:v>
      </x:c>
      <x:c r="D32" s="36" t="n">
        <x:f>IF('Inputs'!$C$4="Fictional example",IF(LEN('Inputs'!D59&amp;"")=0,"",'Inputs'!D59),IF(LEN('Inputs'!D85&amp;"")=0,"",'Inputs'!D85))</x:f>
        <x:v>0</x:v>
      </x:c>
      <x:c r="E32" s="36" t="n">
        <x:f>IF('Inputs'!$C$4="Fictional example",IF(LEN('Inputs'!E59&amp;"")=0,"",'Inputs'!E59),IF(LEN('Inputs'!E85&amp;"")=0,"",'Inputs'!E85))</x:f>
        <x:v>20000</x:v>
      </x:c>
      <x:c r="F32" s="5" t="str">
        <x:f>IF('Inputs'!$C$4="Fictional example",IF(LEN('Inputs'!F59&amp;"")=0,"",'Inputs'!F59),IF(LEN('Inputs'!F85&amp;"")=0,"",'Inputs'!F85))</x:f>
        <x:v>Separate</x:v>
      </x:c>
      <x:c r="G32" s="59" t="str">
        <x:f>IF('Inputs'!$C$4="Fictional example",IF(LEN('Inputs'!G59&amp;"")=0,"",'Inputs'!G59),IF(LEN('Inputs'!G85&amp;"")=0,"",'Inputs'!G85))</x:f>
        <x:v>Illustrative existing company payment</x:v>
      </x:c>
      <x:c r="H32" s="59" t="str">
        <x:f>IF('Inputs'!$C$4="Fictional example",IF(LEN('Inputs'!H59&amp;"")=0,"",'Inputs'!H59),IF(LEN('Inputs'!H85&amp;"")=0,"",'Inputs'!H85))</x:f>
      </x:c>
      <x:c r="I32" s="59" t="str">
        <x:f>IF(COUNTA(B32:H32)=0,"Unused",IF(AND(B32="",C32="",D32="",E32="",F32="",G32="",H32=""),"Unused",IF(OR(B32="",G32="",COUNT(C32:E32)&lt;&gt;3),"Missing row input",IF(OR(MIN(D32:E32)&lt;0,MOD(C32,1)&lt;&gt;0,C32&lt;'Inputs'!$C$47),"Invalid date / amount",IF(COUNTIFS($B$32:$B$51,B32)&gt;1,"Duplicate forecast ID",IF(F32="Separate",IF(OR(H32&lt;&gt;"",COUNTIFS($B$14:$B$23,B32)&gt;0),"Resolve order overlap","Ready"),IF(F32&lt;&gt;"Already in order","Choose handling",IF(COUNTIFS($B$14:$B$23,H32)&lt;&gt;1,"Missing order ID",IF(AND(C32=INDEX($C$14:$C$23,MATCH(H32,$B$14:$B$23,0)),D32=INDEX($D$14:$D$23,MATCH(H32,$B$14:$B$23,0)),E32=INDEX($E$14:$E$23,MATCH(H32,$B$14:$B$23,0))),"Excluded duplicate","Duplicate does not match")))))))))</x:f>
        <x:v>Ready</x:v>
      </x:c>
      <x:c r="J32" s="2"/>
      <x:c r="K32" s="2"/>
      <x:c r="L32" s="2"/>
    </x:row>
    <x:row r="33" ht="52" customHeight="1">
      <x:c r="A33" s="2"/>
      <x:c r="B33" s="5" t="str">
        <x:f>IF('Inputs'!$C$4="Fictional example",IF(LEN('Inputs'!B60&amp;"")=0,"",'Inputs'!B60),IF(LEN('Inputs'!B86&amp;"")=0,"",'Inputs'!B86))</x:f>
        <x:v>DEP-COPY</x:v>
      </x:c>
      <x:c r="C33" s="57" t="n">
        <x:f>IF('Inputs'!$C$4="Fictional example",IF(LEN('Inputs'!C60&amp;"")=0,"",'Inputs'!C60),IF(LEN('Inputs'!C86&amp;"")=0,"",'Inputs'!C86))</x:f>
        <x:v>46286</x:v>
      </x:c>
      <x:c r="D33" s="36" t="n">
        <x:f>IF('Inputs'!$C$4="Fictional example",IF(LEN('Inputs'!D60&amp;"")=0,"",'Inputs'!D60),IF(LEN('Inputs'!D86&amp;"")=0,"",'Inputs'!D86))</x:f>
        <x:v>0</x:v>
      </x:c>
      <x:c r="E33" s="36" t="n">
        <x:f>IF('Inputs'!$C$4="Fictional example",IF(LEN('Inputs'!E60&amp;"")=0,"",'Inputs'!E60),IF(LEN('Inputs'!E86&amp;"")=0,"",'Inputs'!E86))</x:f>
        <x:v>6000</x:v>
      </x:c>
      <x:c r="F33" s="5" t="str">
        <x:f>IF('Inputs'!$C$4="Fictional example",IF(LEN('Inputs'!F60&amp;"")=0,"",'Inputs'!F60),IF(LEN('Inputs'!F86&amp;"")=0,"",'Inputs'!F86))</x:f>
        <x:v>Already in order</x:v>
      </x:c>
      <x:c r="G33" s="59" t="str">
        <x:f>IF('Inputs'!$C$4="Fictional example",IF(LEN('Inputs'!G60&amp;"")=0,"",'Inputs'!G60),IF(LEN('Inputs'!G86&amp;"")=0,"",'Inputs'!G86))</x:f>
        <x:v>Duplicate deposit already in forecast</x:v>
      </x:c>
      <x:c r="H33" s="59" t="str">
        <x:f>IF('Inputs'!$C$4="Fictional example",IF(LEN('Inputs'!H60&amp;"")=0,"",'Inputs'!H60),IF(LEN('Inputs'!H86&amp;"")=0,"",'Inputs'!H86))</x:f>
        <x:v>ORD-DEPOSIT</x:v>
      </x:c>
      <x:c r="I33" s="59" t="str">
        <x:f>IF(COUNTA(B33:H33)=0,"Unused",IF(AND(B33="",C33="",D33="",E33="",F33="",G33="",H33=""),"Unused",IF(OR(B33="",G33="",COUNT(C33:E33)&lt;&gt;3),"Missing row input",IF(OR(MIN(D33:E33)&lt;0,MOD(C33,1)&lt;&gt;0,C33&lt;'Inputs'!$C$47),"Invalid date / amount",IF(COUNTIFS($B$32:$B$51,B33)&gt;1,"Duplicate forecast ID",IF(F33="Separate",IF(OR(H33&lt;&gt;"",COUNTIFS($B$14:$B$23,B33)&gt;0),"Resolve order overlap","Ready"),IF(F33&lt;&gt;"Already in order","Choose handling",IF(COUNTIFS($B$14:$B$23,H33)&lt;&gt;1,"Missing order ID",IF(AND(C33=INDEX($C$14:$C$23,MATCH(H33,$B$14:$B$23,0)),D33=INDEX($D$14:$D$23,MATCH(H33,$B$14:$B$23,0)),E33=INDEX($E$14:$E$23,MATCH(H33,$B$14:$B$23,0))),"Excluded duplicate","Duplicate does not match")))))))))</x:f>
        <x:v>Excluded duplicate</x:v>
      </x:c>
      <x:c r="J33" s="2"/>
      <x:c r="K33" s="2"/>
      <x:c r="L33" s="2"/>
    </x:row>
    <x:row r="34" ht="52" customHeight="1">
      <x:c r="A34" s="2"/>
      <x:c r="B34" s="5" t="str">
        <x:f>IF('Inputs'!$C$4="Fictional example",IF(LEN('Inputs'!B61&amp;"")=0,"",'Inputs'!B61),IF(LEN('Inputs'!B87&amp;"")=0,"",'Inputs'!B87))</x:f>
      </x:c>
      <x:c r="C34" s="57" t="str">
        <x:f>IF('Inputs'!$C$4="Fictional example",IF(LEN('Inputs'!C61&amp;"")=0,"",'Inputs'!C61),IF(LEN('Inputs'!C87&amp;"")=0,"",'Inputs'!C87))</x:f>
      </x:c>
      <x:c r="D34" s="36" t="str">
        <x:f>IF('Inputs'!$C$4="Fictional example",IF(LEN('Inputs'!D61&amp;"")=0,"",'Inputs'!D61),IF(LEN('Inputs'!D87&amp;"")=0,"",'Inputs'!D87))</x:f>
      </x:c>
      <x:c r="E34" s="36" t="str">
        <x:f>IF('Inputs'!$C$4="Fictional example",IF(LEN('Inputs'!E61&amp;"")=0,"",'Inputs'!E61),IF(LEN('Inputs'!E87&amp;"")=0,"",'Inputs'!E87))</x:f>
      </x:c>
      <x:c r="F34" s="5" t="str">
        <x:f>IF('Inputs'!$C$4="Fictional example",IF(LEN('Inputs'!F61&amp;"")=0,"",'Inputs'!F61),IF(LEN('Inputs'!F87&amp;"")=0,"",'Inputs'!F87))</x:f>
      </x:c>
      <x:c r="G34" s="59" t="str">
        <x:f>IF('Inputs'!$C$4="Fictional example",IF(LEN('Inputs'!G61&amp;"")=0,"",'Inputs'!G61),IF(LEN('Inputs'!G87&amp;"")=0,"",'Inputs'!G87))</x:f>
      </x:c>
      <x:c r="H34" s="59" t="str">
        <x:f>IF('Inputs'!$C$4="Fictional example",IF(LEN('Inputs'!H61&amp;"")=0,"",'Inputs'!H61),IF(LEN('Inputs'!H87&amp;"")=0,"",'Inputs'!H87))</x:f>
      </x:c>
      <x:c r="I34" s="59" t="str">
        <x:f>IF(COUNTA(B34:H34)=0,"Unused",IF(AND(B34="",C34="",D34="",E34="",F34="",G34="",H34=""),"Unused",IF(OR(B34="",G34="",COUNT(C34:E34)&lt;&gt;3),"Missing row input",IF(OR(MIN(D34:E34)&lt;0,MOD(C34,1)&lt;&gt;0,C34&lt;'Inputs'!$C$47),"Invalid date / amount",IF(COUNTIFS($B$32:$B$51,B34)&gt;1,"Duplicate forecast ID",IF(F34="Separate",IF(OR(H34&lt;&gt;"",COUNTIFS($B$14:$B$23,B34)&gt;0),"Resolve order overlap","Ready"),IF(F34&lt;&gt;"Already in order","Choose handling",IF(COUNTIFS($B$14:$B$23,H34)&lt;&gt;1,"Missing order ID",IF(AND(C34=INDEX($C$14:$C$23,MATCH(H34,$B$14:$B$23,0)),D34=INDEX($D$14:$D$23,MATCH(H34,$B$14:$B$23,0)),E34=INDEX($E$14:$E$23,MATCH(H34,$B$14:$B$23,0))),"Excluded duplicate","Duplicate does not match")))))))))</x:f>
        <x:v>Unused</x:v>
      </x:c>
      <x:c r="J34" s="2"/>
      <x:c r="K34" s="2"/>
      <x:c r="L34" s="2"/>
    </x:row>
    <x:row r="35" ht="52" customHeight="1">
      <x:c r="A35" s="2"/>
      <x:c r="B35" s="5" t="str">
        <x:f>IF('Inputs'!$C$4="Fictional example",IF(LEN('Inputs'!B62&amp;"")=0,"",'Inputs'!B62),IF(LEN('Inputs'!B88&amp;"")=0,"",'Inputs'!B88))</x:f>
      </x:c>
      <x:c r="C35" s="57" t="str">
        <x:f>IF('Inputs'!$C$4="Fictional example",IF(LEN('Inputs'!C62&amp;"")=0,"",'Inputs'!C62),IF(LEN('Inputs'!C88&amp;"")=0,"",'Inputs'!C88))</x:f>
      </x:c>
      <x:c r="D35" s="36" t="str">
        <x:f>IF('Inputs'!$C$4="Fictional example",IF(LEN('Inputs'!D62&amp;"")=0,"",'Inputs'!D62),IF(LEN('Inputs'!D88&amp;"")=0,"",'Inputs'!D88))</x:f>
      </x:c>
      <x:c r="E35" s="36" t="str">
        <x:f>IF('Inputs'!$C$4="Fictional example",IF(LEN('Inputs'!E62&amp;"")=0,"",'Inputs'!E62),IF(LEN('Inputs'!E88&amp;"")=0,"",'Inputs'!E88))</x:f>
      </x:c>
      <x:c r="F35" s="5" t="str">
        <x:f>IF('Inputs'!$C$4="Fictional example",IF(LEN('Inputs'!F62&amp;"")=0,"",'Inputs'!F62),IF(LEN('Inputs'!F88&amp;"")=0,"",'Inputs'!F88))</x:f>
      </x:c>
      <x:c r="G35" s="59" t="str">
        <x:f>IF('Inputs'!$C$4="Fictional example",IF(LEN('Inputs'!G62&amp;"")=0,"",'Inputs'!G62),IF(LEN('Inputs'!G88&amp;"")=0,"",'Inputs'!G88))</x:f>
      </x:c>
      <x:c r="H35" s="59" t="str">
        <x:f>IF('Inputs'!$C$4="Fictional example",IF(LEN('Inputs'!H62&amp;"")=0,"",'Inputs'!H62),IF(LEN('Inputs'!H88&amp;"")=0,"",'Inputs'!H88))</x:f>
      </x:c>
      <x:c r="I35" s="59" t="str">
        <x:f>IF(COUNTA(B35:H35)=0,"Unused",IF(AND(B35="",C35="",D35="",E35="",F35="",G35="",H35=""),"Unused",IF(OR(B35="",G35="",COUNT(C35:E35)&lt;&gt;3),"Missing row input",IF(OR(MIN(D35:E35)&lt;0,MOD(C35,1)&lt;&gt;0,C35&lt;'Inputs'!$C$47),"Invalid date / amount",IF(COUNTIFS($B$32:$B$51,B35)&gt;1,"Duplicate forecast ID",IF(F35="Separate",IF(OR(H35&lt;&gt;"",COUNTIFS($B$14:$B$23,B35)&gt;0),"Resolve order overlap","Ready"),IF(F35&lt;&gt;"Already in order","Choose handling",IF(COUNTIFS($B$14:$B$23,H35)&lt;&gt;1,"Missing order ID",IF(AND(C35=INDEX($C$14:$C$23,MATCH(H35,$B$14:$B$23,0)),D35=INDEX($D$14:$D$23,MATCH(H35,$B$14:$B$23,0)),E35=INDEX($E$14:$E$23,MATCH(H35,$B$14:$B$23,0))),"Excluded duplicate","Duplicate does not match")))))))))</x:f>
        <x:v>Unused</x:v>
      </x:c>
      <x:c r="J35" s="2"/>
      <x:c r="K35" s="2"/>
      <x:c r="L35" s="2"/>
    </x:row>
    <x:row r="36" ht="52" customHeight="1">
      <x:c r="A36" s="2"/>
      <x:c r="B36" s="5" t="str">
        <x:f>IF('Inputs'!$C$4="Fictional example",IF(LEN('Inputs'!B63&amp;"")=0,"",'Inputs'!B63),IF(LEN('Inputs'!B89&amp;"")=0,"",'Inputs'!B89))</x:f>
      </x:c>
      <x:c r="C36" s="57" t="str">
        <x:f>IF('Inputs'!$C$4="Fictional example",IF(LEN('Inputs'!C63&amp;"")=0,"",'Inputs'!C63),IF(LEN('Inputs'!C89&amp;"")=0,"",'Inputs'!C89))</x:f>
      </x:c>
      <x:c r="D36" s="36" t="str">
        <x:f>IF('Inputs'!$C$4="Fictional example",IF(LEN('Inputs'!D63&amp;"")=0,"",'Inputs'!D63),IF(LEN('Inputs'!D89&amp;"")=0,"",'Inputs'!D89))</x:f>
      </x:c>
      <x:c r="E36" s="36" t="str">
        <x:f>IF('Inputs'!$C$4="Fictional example",IF(LEN('Inputs'!E63&amp;"")=0,"",'Inputs'!E63),IF(LEN('Inputs'!E89&amp;"")=0,"",'Inputs'!E89))</x:f>
      </x:c>
      <x:c r="F36" s="5" t="str">
        <x:f>IF('Inputs'!$C$4="Fictional example",IF(LEN('Inputs'!F63&amp;"")=0,"",'Inputs'!F63),IF(LEN('Inputs'!F89&amp;"")=0,"",'Inputs'!F89))</x:f>
      </x:c>
      <x:c r="G36" s="59" t="str">
        <x:f>IF('Inputs'!$C$4="Fictional example",IF(LEN('Inputs'!G63&amp;"")=0,"",'Inputs'!G63),IF(LEN('Inputs'!G89&amp;"")=0,"",'Inputs'!G89))</x:f>
      </x:c>
      <x:c r="H36" s="59" t="str">
        <x:f>IF('Inputs'!$C$4="Fictional example",IF(LEN('Inputs'!H63&amp;"")=0,"",'Inputs'!H63),IF(LEN('Inputs'!H89&amp;"")=0,"",'Inputs'!H89))</x:f>
      </x:c>
      <x:c r="I36" s="59" t="str">
        <x:f>IF(COUNTA(B36:H36)=0,"Unused",IF(AND(B36="",C36="",D36="",E36="",F36="",G36="",H36=""),"Unused",IF(OR(B36="",G36="",COUNT(C36:E36)&lt;&gt;3),"Missing row input",IF(OR(MIN(D36:E36)&lt;0,MOD(C36,1)&lt;&gt;0,C36&lt;'Inputs'!$C$47),"Invalid date / amount",IF(COUNTIFS($B$32:$B$51,B36)&gt;1,"Duplicate forecast ID",IF(F36="Separate",IF(OR(H36&lt;&gt;"",COUNTIFS($B$14:$B$23,B36)&gt;0),"Resolve order overlap","Ready"),IF(F36&lt;&gt;"Already in order","Choose handling",IF(COUNTIFS($B$14:$B$23,H36)&lt;&gt;1,"Missing order ID",IF(AND(C36=INDEX($C$14:$C$23,MATCH(H36,$B$14:$B$23,0)),D36=INDEX($D$14:$D$23,MATCH(H36,$B$14:$B$23,0)),E36=INDEX($E$14:$E$23,MATCH(H36,$B$14:$B$23,0))),"Excluded duplicate","Duplicate does not match")))))))))</x:f>
        <x:v>Unused</x:v>
      </x:c>
      <x:c r="J36" s="2"/>
      <x:c r="K36" s="2"/>
      <x:c r="L36" s="2"/>
    </x:row>
    <x:row r="37" ht="52" customHeight="1">
      <x:c r="A37" s="2"/>
      <x:c r="B37" s="5" t="str">
        <x:f>IF('Inputs'!$C$4="Fictional example",IF(LEN('Inputs'!B64&amp;"")=0,"",'Inputs'!B64),IF(LEN('Inputs'!B90&amp;"")=0,"",'Inputs'!B90))</x:f>
      </x:c>
      <x:c r="C37" s="57" t="str">
        <x:f>IF('Inputs'!$C$4="Fictional example",IF(LEN('Inputs'!C64&amp;"")=0,"",'Inputs'!C64),IF(LEN('Inputs'!C90&amp;"")=0,"",'Inputs'!C90))</x:f>
      </x:c>
      <x:c r="D37" s="36" t="str">
        <x:f>IF('Inputs'!$C$4="Fictional example",IF(LEN('Inputs'!D64&amp;"")=0,"",'Inputs'!D64),IF(LEN('Inputs'!D90&amp;"")=0,"",'Inputs'!D90))</x:f>
      </x:c>
      <x:c r="E37" s="36" t="str">
        <x:f>IF('Inputs'!$C$4="Fictional example",IF(LEN('Inputs'!E64&amp;"")=0,"",'Inputs'!E64),IF(LEN('Inputs'!E90&amp;"")=0,"",'Inputs'!E90))</x:f>
      </x:c>
      <x:c r="F37" s="5" t="str">
        <x:f>IF('Inputs'!$C$4="Fictional example",IF(LEN('Inputs'!F64&amp;"")=0,"",'Inputs'!F64),IF(LEN('Inputs'!F90&amp;"")=0,"",'Inputs'!F90))</x:f>
      </x:c>
      <x:c r="G37" s="59" t="str">
        <x:f>IF('Inputs'!$C$4="Fictional example",IF(LEN('Inputs'!G64&amp;"")=0,"",'Inputs'!G64),IF(LEN('Inputs'!G90&amp;"")=0,"",'Inputs'!G90))</x:f>
      </x:c>
      <x:c r="H37" s="59" t="str">
        <x:f>IF('Inputs'!$C$4="Fictional example",IF(LEN('Inputs'!H64&amp;"")=0,"",'Inputs'!H64),IF(LEN('Inputs'!H90&amp;"")=0,"",'Inputs'!H90))</x:f>
      </x:c>
      <x:c r="I37" s="59" t="str">
        <x:f>IF(COUNTA(B37:H37)=0,"Unused",IF(AND(B37="",C37="",D37="",E37="",F37="",G37="",H37=""),"Unused",IF(OR(B37="",G37="",COUNT(C37:E37)&lt;&gt;3),"Missing row input",IF(OR(MIN(D37:E37)&lt;0,MOD(C37,1)&lt;&gt;0,C37&lt;'Inputs'!$C$47),"Invalid date / amount",IF(COUNTIFS($B$32:$B$51,B37)&gt;1,"Duplicate forecast ID",IF(F37="Separate",IF(OR(H37&lt;&gt;"",COUNTIFS($B$14:$B$23,B37)&gt;0),"Resolve order overlap","Ready"),IF(F37&lt;&gt;"Already in order","Choose handling",IF(COUNTIFS($B$14:$B$23,H37)&lt;&gt;1,"Missing order ID",IF(AND(C37=INDEX($C$14:$C$23,MATCH(H37,$B$14:$B$23,0)),D37=INDEX($D$14:$D$23,MATCH(H37,$B$14:$B$23,0)),E37=INDEX($E$14:$E$23,MATCH(H37,$B$14:$B$23,0))),"Excluded duplicate","Duplicate does not match")))))))))</x:f>
        <x:v>Unused</x:v>
      </x:c>
      <x:c r="J37" s="2"/>
      <x:c r="K37" s="2"/>
      <x:c r="L37" s="2"/>
    </x:row>
    <x:row r="38" ht="52" customHeight="1">
      <x:c r="A38" s="2"/>
      <x:c r="B38" s="5" t="str">
        <x:f>IF('Inputs'!$C$4="Fictional example",IF(LEN('Inputs'!B65&amp;"")=0,"",'Inputs'!B65),IF(LEN('Inputs'!B91&amp;"")=0,"",'Inputs'!B91))</x:f>
      </x:c>
      <x:c r="C38" s="57" t="str">
        <x:f>IF('Inputs'!$C$4="Fictional example",IF(LEN('Inputs'!C65&amp;"")=0,"",'Inputs'!C65),IF(LEN('Inputs'!C91&amp;"")=0,"",'Inputs'!C91))</x:f>
      </x:c>
      <x:c r="D38" s="36" t="str">
        <x:f>IF('Inputs'!$C$4="Fictional example",IF(LEN('Inputs'!D65&amp;"")=0,"",'Inputs'!D65),IF(LEN('Inputs'!D91&amp;"")=0,"",'Inputs'!D91))</x:f>
      </x:c>
      <x:c r="E38" s="36" t="str">
        <x:f>IF('Inputs'!$C$4="Fictional example",IF(LEN('Inputs'!E65&amp;"")=0,"",'Inputs'!E65),IF(LEN('Inputs'!E91&amp;"")=0,"",'Inputs'!E91))</x:f>
      </x:c>
      <x:c r="F38" s="5" t="str">
        <x:f>IF('Inputs'!$C$4="Fictional example",IF(LEN('Inputs'!F65&amp;"")=0,"",'Inputs'!F65),IF(LEN('Inputs'!F91&amp;"")=0,"",'Inputs'!F91))</x:f>
      </x:c>
      <x:c r="G38" s="59" t="str">
        <x:f>IF('Inputs'!$C$4="Fictional example",IF(LEN('Inputs'!G65&amp;"")=0,"",'Inputs'!G65),IF(LEN('Inputs'!G91&amp;"")=0,"",'Inputs'!G91))</x:f>
      </x:c>
      <x:c r="H38" s="59" t="str">
        <x:f>IF('Inputs'!$C$4="Fictional example",IF(LEN('Inputs'!H65&amp;"")=0,"",'Inputs'!H65),IF(LEN('Inputs'!H91&amp;"")=0,"",'Inputs'!H91))</x:f>
      </x:c>
      <x:c r="I38" s="59" t="str">
        <x:f>IF(COUNTA(B38:H38)=0,"Unused",IF(AND(B38="",C38="",D38="",E38="",F38="",G38="",H38=""),"Unused",IF(OR(B38="",G38="",COUNT(C38:E38)&lt;&gt;3),"Missing row input",IF(OR(MIN(D38:E38)&lt;0,MOD(C38,1)&lt;&gt;0,C38&lt;'Inputs'!$C$47),"Invalid date / amount",IF(COUNTIFS($B$32:$B$51,B38)&gt;1,"Duplicate forecast ID",IF(F38="Separate",IF(OR(H38&lt;&gt;"",COUNTIFS($B$14:$B$23,B38)&gt;0),"Resolve order overlap","Ready"),IF(F38&lt;&gt;"Already in order","Choose handling",IF(COUNTIFS($B$14:$B$23,H38)&lt;&gt;1,"Missing order ID",IF(AND(C38=INDEX($C$14:$C$23,MATCH(H38,$B$14:$B$23,0)),D38=INDEX($D$14:$D$23,MATCH(H38,$B$14:$B$23,0)),E38=INDEX($E$14:$E$23,MATCH(H38,$B$14:$B$23,0))),"Excluded duplicate","Duplicate does not match")))))))))</x:f>
        <x:v>Unused</x:v>
      </x:c>
      <x:c r="J38" s="2"/>
      <x:c r="K38" s="2"/>
      <x:c r="L38" s="2"/>
    </x:row>
    <x:row r="39" ht="52" customHeight="1">
      <x:c r="A39" s="2"/>
      <x:c r="B39" s="5" t="str">
        <x:f>IF('Inputs'!$C$4="Fictional example",IF(LEN('Inputs'!B66&amp;"")=0,"",'Inputs'!B66),IF(LEN('Inputs'!B92&amp;"")=0,"",'Inputs'!B92))</x:f>
      </x:c>
      <x:c r="C39" s="57" t="str">
        <x:f>IF('Inputs'!$C$4="Fictional example",IF(LEN('Inputs'!C66&amp;"")=0,"",'Inputs'!C66),IF(LEN('Inputs'!C92&amp;"")=0,"",'Inputs'!C92))</x:f>
      </x:c>
      <x:c r="D39" s="36" t="str">
        <x:f>IF('Inputs'!$C$4="Fictional example",IF(LEN('Inputs'!D66&amp;"")=0,"",'Inputs'!D66),IF(LEN('Inputs'!D92&amp;"")=0,"",'Inputs'!D92))</x:f>
      </x:c>
      <x:c r="E39" s="36" t="str">
        <x:f>IF('Inputs'!$C$4="Fictional example",IF(LEN('Inputs'!E66&amp;"")=0,"",'Inputs'!E66),IF(LEN('Inputs'!E92&amp;"")=0,"",'Inputs'!E92))</x:f>
      </x:c>
      <x:c r="F39" s="5" t="str">
        <x:f>IF('Inputs'!$C$4="Fictional example",IF(LEN('Inputs'!F66&amp;"")=0,"",'Inputs'!F66),IF(LEN('Inputs'!F92&amp;"")=0,"",'Inputs'!F92))</x:f>
      </x:c>
      <x:c r="G39" s="59" t="str">
        <x:f>IF('Inputs'!$C$4="Fictional example",IF(LEN('Inputs'!G66&amp;"")=0,"",'Inputs'!G66),IF(LEN('Inputs'!G92&amp;"")=0,"",'Inputs'!G92))</x:f>
      </x:c>
      <x:c r="H39" s="59" t="str">
        <x:f>IF('Inputs'!$C$4="Fictional example",IF(LEN('Inputs'!H66&amp;"")=0,"",'Inputs'!H66),IF(LEN('Inputs'!H92&amp;"")=0,"",'Inputs'!H92))</x:f>
      </x:c>
      <x:c r="I39" s="59" t="str">
        <x:f>IF(COUNTA(B39:H39)=0,"Unused",IF(AND(B39="",C39="",D39="",E39="",F39="",G39="",H39=""),"Unused",IF(OR(B39="",G39="",COUNT(C39:E39)&lt;&gt;3),"Missing row input",IF(OR(MIN(D39:E39)&lt;0,MOD(C39,1)&lt;&gt;0,C39&lt;'Inputs'!$C$47),"Invalid date / amount",IF(COUNTIFS($B$32:$B$51,B39)&gt;1,"Duplicate forecast ID",IF(F39="Separate",IF(OR(H39&lt;&gt;"",COUNTIFS($B$14:$B$23,B39)&gt;0),"Resolve order overlap","Ready"),IF(F39&lt;&gt;"Already in order","Choose handling",IF(COUNTIFS($B$14:$B$23,H39)&lt;&gt;1,"Missing order ID",IF(AND(C39=INDEX($C$14:$C$23,MATCH(H39,$B$14:$B$23,0)),D39=INDEX($D$14:$D$23,MATCH(H39,$B$14:$B$23,0)),E39=INDEX($E$14:$E$23,MATCH(H39,$B$14:$B$23,0))),"Excluded duplicate","Duplicate does not match")))))))))</x:f>
        <x:v>Unused</x:v>
      </x:c>
      <x:c r="J39" s="2"/>
      <x:c r="K39" s="2"/>
      <x:c r="L39" s="2"/>
    </x:row>
    <x:row r="40" ht="52" customHeight="1">
      <x:c r="A40" s="2"/>
      <x:c r="B40" s="5" t="str">
        <x:f>IF('Inputs'!$C$4="Fictional example",IF(LEN('Inputs'!B67&amp;"")=0,"",'Inputs'!B67),IF(LEN('Inputs'!B93&amp;"")=0,"",'Inputs'!B93))</x:f>
      </x:c>
      <x:c r="C40" s="57" t="str">
        <x:f>IF('Inputs'!$C$4="Fictional example",IF(LEN('Inputs'!C67&amp;"")=0,"",'Inputs'!C67),IF(LEN('Inputs'!C93&amp;"")=0,"",'Inputs'!C93))</x:f>
      </x:c>
      <x:c r="D40" s="36" t="str">
        <x:f>IF('Inputs'!$C$4="Fictional example",IF(LEN('Inputs'!D67&amp;"")=0,"",'Inputs'!D67),IF(LEN('Inputs'!D93&amp;"")=0,"",'Inputs'!D93))</x:f>
      </x:c>
      <x:c r="E40" s="36" t="str">
        <x:f>IF('Inputs'!$C$4="Fictional example",IF(LEN('Inputs'!E67&amp;"")=0,"",'Inputs'!E67),IF(LEN('Inputs'!E93&amp;"")=0,"",'Inputs'!E93))</x:f>
      </x:c>
      <x:c r="F40" s="5" t="str">
        <x:f>IF('Inputs'!$C$4="Fictional example",IF(LEN('Inputs'!F67&amp;"")=0,"",'Inputs'!F67),IF(LEN('Inputs'!F93&amp;"")=0,"",'Inputs'!F93))</x:f>
      </x:c>
      <x:c r="G40" s="59" t="str">
        <x:f>IF('Inputs'!$C$4="Fictional example",IF(LEN('Inputs'!G67&amp;"")=0,"",'Inputs'!G67),IF(LEN('Inputs'!G93&amp;"")=0,"",'Inputs'!G93))</x:f>
      </x:c>
      <x:c r="H40" s="59" t="str">
        <x:f>IF('Inputs'!$C$4="Fictional example",IF(LEN('Inputs'!H67&amp;"")=0,"",'Inputs'!H67),IF(LEN('Inputs'!H93&amp;"")=0,"",'Inputs'!H93))</x:f>
      </x:c>
      <x:c r="I40" s="59" t="str">
        <x:f>IF(COUNTA(B40:H40)=0,"Unused",IF(AND(B40="",C40="",D40="",E40="",F40="",G40="",H40=""),"Unused",IF(OR(B40="",G40="",COUNT(C40:E40)&lt;&gt;3),"Missing row input",IF(OR(MIN(D40:E40)&lt;0,MOD(C40,1)&lt;&gt;0,C40&lt;'Inputs'!$C$47),"Invalid date / amount",IF(COUNTIFS($B$32:$B$51,B40)&gt;1,"Duplicate forecast ID",IF(F40="Separate",IF(OR(H40&lt;&gt;"",COUNTIFS($B$14:$B$23,B40)&gt;0),"Resolve order overlap","Ready"),IF(F40&lt;&gt;"Already in order","Choose handling",IF(COUNTIFS($B$14:$B$23,H40)&lt;&gt;1,"Missing order ID",IF(AND(C40=INDEX($C$14:$C$23,MATCH(H40,$B$14:$B$23,0)),D40=INDEX($D$14:$D$23,MATCH(H40,$B$14:$B$23,0)),E40=INDEX($E$14:$E$23,MATCH(H40,$B$14:$B$23,0))),"Excluded duplicate","Duplicate does not match")))))))))</x:f>
        <x:v>Unused</x:v>
      </x:c>
      <x:c r="J40" s="2"/>
      <x:c r="K40" s="2"/>
      <x:c r="L40" s="2"/>
    </x:row>
    <x:row r="41" ht="52" customHeight="1">
      <x:c r="A41" s="2"/>
      <x:c r="B41" s="5" t="str">
        <x:f>IF('Inputs'!$C$4="Fictional example",IF(LEN('Inputs'!B68&amp;"")=0,"",'Inputs'!B68),IF(LEN('Inputs'!B94&amp;"")=0,"",'Inputs'!B94))</x:f>
      </x:c>
      <x:c r="C41" s="57" t="str">
        <x:f>IF('Inputs'!$C$4="Fictional example",IF(LEN('Inputs'!C68&amp;"")=0,"",'Inputs'!C68),IF(LEN('Inputs'!C94&amp;"")=0,"",'Inputs'!C94))</x:f>
      </x:c>
      <x:c r="D41" s="36" t="str">
        <x:f>IF('Inputs'!$C$4="Fictional example",IF(LEN('Inputs'!D68&amp;"")=0,"",'Inputs'!D68),IF(LEN('Inputs'!D94&amp;"")=0,"",'Inputs'!D94))</x:f>
      </x:c>
      <x:c r="E41" s="36" t="str">
        <x:f>IF('Inputs'!$C$4="Fictional example",IF(LEN('Inputs'!E68&amp;"")=0,"",'Inputs'!E68),IF(LEN('Inputs'!E94&amp;"")=0,"",'Inputs'!E94))</x:f>
      </x:c>
      <x:c r="F41" s="5" t="str">
        <x:f>IF('Inputs'!$C$4="Fictional example",IF(LEN('Inputs'!F68&amp;"")=0,"",'Inputs'!F68),IF(LEN('Inputs'!F94&amp;"")=0,"",'Inputs'!F94))</x:f>
      </x:c>
      <x:c r="G41" s="59" t="str">
        <x:f>IF('Inputs'!$C$4="Fictional example",IF(LEN('Inputs'!G68&amp;"")=0,"",'Inputs'!G68),IF(LEN('Inputs'!G94&amp;"")=0,"",'Inputs'!G94))</x:f>
      </x:c>
      <x:c r="H41" s="59" t="str">
        <x:f>IF('Inputs'!$C$4="Fictional example",IF(LEN('Inputs'!H68&amp;"")=0,"",'Inputs'!H68),IF(LEN('Inputs'!H94&amp;"")=0,"",'Inputs'!H94))</x:f>
      </x:c>
      <x:c r="I41" s="59" t="str">
        <x:f>IF(COUNTA(B41:H41)=0,"Unused",IF(AND(B41="",C41="",D41="",E41="",F41="",G41="",H41=""),"Unused",IF(OR(B41="",G41="",COUNT(C41:E41)&lt;&gt;3),"Missing row input",IF(OR(MIN(D41:E41)&lt;0,MOD(C41,1)&lt;&gt;0,C41&lt;'Inputs'!$C$47),"Invalid date / amount",IF(COUNTIFS($B$32:$B$51,B41)&gt;1,"Duplicate forecast ID",IF(F41="Separate",IF(OR(H41&lt;&gt;"",COUNTIFS($B$14:$B$23,B41)&gt;0),"Resolve order overlap","Ready"),IF(F41&lt;&gt;"Already in order","Choose handling",IF(COUNTIFS($B$14:$B$23,H41)&lt;&gt;1,"Missing order ID",IF(AND(C41=INDEX($C$14:$C$23,MATCH(H41,$B$14:$B$23,0)),D41=INDEX($D$14:$D$23,MATCH(H41,$B$14:$B$23,0)),E41=INDEX($E$14:$E$23,MATCH(H41,$B$14:$B$23,0))),"Excluded duplicate","Duplicate does not match")))))))))</x:f>
        <x:v>Unused</x:v>
      </x:c>
      <x:c r="J41" s="2"/>
      <x:c r="K41" s="2"/>
      <x:c r="L41" s="2"/>
    </x:row>
    <x:row r="42" ht="52" customHeight="1">
      <x:c r="A42" s="2"/>
      <x:c r="B42" s="5" t="str">
        <x:f>IF('Inputs'!$C$4="Fictional example",IF(LEN('Inputs'!B69&amp;"")=0,"",'Inputs'!B69),IF(LEN('Inputs'!B95&amp;"")=0,"",'Inputs'!B95))</x:f>
      </x:c>
      <x:c r="C42" s="57" t="str">
        <x:f>IF('Inputs'!$C$4="Fictional example",IF(LEN('Inputs'!C69&amp;"")=0,"",'Inputs'!C69),IF(LEN('Inputs'!C95&amp;"")=0,"",'Inputs'!C95))</x:f>
      </x:c>
      <x:c r="D42" s="36" t="str">
        <x:f>IF('Inputs'!$C$4="Fictional example",IF(LEN('Inputs'!D69&amp;"")=0,"",'Inputs'!D69),IF(LEN('Inputs'!D95&amp;"")=0,"",'Inputs'!D95))</x:f>
      </x:c>
      <x:c r="E42" s="36" t="str">
        <x:f>IF('Inputs'!$C$4="Fictional example",IF(LEN('Inputs'!E69&amp;"")=0,"",'Inputs'!E69),IF(LEN('Inputs'!E95&amp;"")=0,"",'Inputs'!E95))</x:f>
      </x:c>
      <x:c r="F42" s="5" t="str">
        <x:f>IF('Inputs'!$C$4="Fictional example",IF(LEN('Inputs'!F69&amp;"")=0,"",'Inputs'!F69),IF(LEN('Inputs'!F95&amp;"")=0,"",'Inputs'!F95))</x:f>
      </x:c>
      <x:c r="G42" s="59" t="str">
        <x:f>IF('Inputs'!$C$4="Fictional example",IF(LEN('Inputs'!G69&amp;"")=0,"",'Inputs'!G69),IF(LEN('Inputs'!G95&amp;"")=0,"",'Inputs'!G95))</x:f>
      </x:c>
      <x:c r="H42" s="59" t="str">
        <x:f>IF('Inputs'!$C$4="Fictional example",IF(LEN('Inputs'!H69&amp;"")=0,"",'Inputs'!H69),IF(LEN('Inputs'!H95&amp;"")=0,"",'Inputs'!H95))</x:f>
      </x:c>
      <x:c r="I42" s="59" t="str">
        <x:f>IF(COUNTA(B42:H42)=0,"Unused",IF(AND(B42="",C42="",D42="",E42="",F42="",G42="",H42=""),"Unused",IF(OR(B42="",G42="",COUNT(C42:E42)&lt;&gt;3),"Missing row input",IF(OR(MIN(D42:E42)&lt;0,MOD(C42,1)&lt;&gt;0,C42&lt;'Inputs'!$C$47),"Invalid date / amount",IF(COUNTIFS($B$32:$B$51,B42)&gt;1,"Duplicate forecast ID",IF(F42="Separate",IF(OR(H42&lt;&gt;"",COUNTIFS($B$14:$B$23,B42)&gt;0),"Resolve order overlap","Ready"),IF(F42&lt;&gt;"Already in order","Choose handling",IF(COUNTIFS($B$14:$B$23,H42)&lt;&gt;1,"Missing order ID",IF(AND(C42=INDEX($C$14:$C$23,MATCH(H42,$B$14:$B$23,0)),D42=INDEX($D$14:$D$23,MATCH(H42,$B$14:$B$23,0)),E42=INDEX($E$14:$E$23,MATCH(H42,$B$14:$B$23,0))),"Excluded duplicate","Duplicate does not match")))))))))</x:f>
        <x:v>Unused</x:v>
      </x:c>
      <x:c r="J42" s="2"/>
      <x:c r="K42" s="2"/>
      <x:c r="L42" s="2"/>
    </x:row>
    <x:row r="43" ht="52" customHeight="1">
      <x:c r="A43" s="2"/>
      <x:c r="B43" s="5" t="str">
        <x:f>IF('Inputs'!$C$4="Fictional example",IF(LEN('Inputs'!B70&amp;"")=0,"",'Inputs'!B70),IF(LEN('Inputs'!B96&amp;"")=0,"",'Inputs'!B96))</x:f>
      </x:c>
      <x:c r="C43" s="57" t="str">
        <x:f>IF('Inputs'!$C$4="Fictional example",IF(LEN('Inputs'!C70&amp;"")=0,"",'Inputs'!C70),IF(LEN('Inputs'!C96&amp;"")=0,"",'Inputs'!C96))</x:f>
      </x:c>
      <x:c r="D43" s="36" t="str">
        <x:f>IF('Inputs'!$C$4="Fictional example",IF(LEN('Inputs'!D70&amp;"")=0,"",'Inputs'!D70),IF(LEN('Inputs'!D96&amp;"")=0,"",'Inputs'!D96))</x:f>
      </x:c>
      <x:c r="E43" s="36" t="str">
        <x:f>IF('Inputs'!$C$4="Fictional example",IF(LEN('Inputs'!E70&amp;"")=0,"",'Inputs'!E70),IF(LEN('Inputs'!E96&amp;"")=0,"",'Inputs'!E96))</x:f>
      </x:c>
      <x:c r="F43" s="5" t="str">
        <x:f>IF('Inputs'!$C$4="Fictional example",IF(LEN('Inputs'!F70&amp;"")=0,"",'Inputs'!F70),IF(LEN('Inputs'!F96&amp;"")=0,"",'Inputs'!F96))</x:f>
      </x:c>
      <x:c r="G43" s="59" t="str">
        <x:f>IF('Inputs'!$C$4="Fictional example",IF(LEN('Inputs'!G70&amp;"")=0,"",'Inputs'!G70),IF(LEN('Inputs'!G96&amp;"")=0,"",'Inputs'!G96))</x:f>
      </x:c>
      <x:c r="H43" s="59" t="str">
        <x:f>IF('Inputs'!$C$4="Fictional example",IF(LEN('Inputs'!H70&amp;"")=0,"",'Inputs'!H70),IF(LEN('Inputs'!H96&amp;"")=0,"",'Inputs'!H96))</x:f>
      </x:c>
      <x:c r="I43" s="59" t="str">
        <x:f>IF(COUNTA(B43:H43)=0,"Unused",IF(AND(B43="",C43="",D43="",E43="",F43="",G43="",H43=""),"Unused",IF(OR(B43="",G43="",COUNT(C43:E43)&lt;&gt;3),"Missing row input",IF(OR(MIN(D43:E43)&lt;0,MOD(C43,1)&lt;&gt;0,C43&lt;'Inputs'!$C$47),"Invalid date / amount",IF(COUNTIFS($B$32:$B$51,B43)&gt;1,"Duplicate forecast ID",IF(F43="Separate",IF(OR(H43&lt;&gt;"",COUNTIFS($B$14:$B$23,B43)&gt;0),"Resolve order overlap","Ready"),IF(F43&lt;&gt;"Already in order","Choose handling",IF(COUNTIFS($B$14:$B$23,H43)&lt;&gt;1,"Missing order ID",IF(AND(C43=INDEX($C$14:$C$23,MATCH(H43,$B$14:$B$23,0)),D43=INDEX($D$14:$D$23,MATCH(H43,$B$14:$B$23,0)),E43=INDEX($E$14:$E$23,MATCH(H43,$B$14:$B$23,0))),"Excluded duplicate","Duplicate does not match")))))))))</x:f>
        <x:v>Unused</x:v>
      </x:c>
      <x:c r="J43" s="2"/>
      <x:c r="K43" s="2"/>
      <x:c r="L43" s="2"/>
    </x:row>
    <x:row r="44" ht="52" customHeight="1">
      <x:c r="A44" s="2"/>
      <x:c r="B44" s="5" t="str">
        <x:f>IF('Inputs'!$C$4="Fictional example",IF(LEN('Inputs'!B71&amp;"")=0,"",'Inputs'!B71),IF(LEN('Inputs'!B97&amp;"")=0,"",'Inputs'!B97))</x:f>
      </x:c>
      <x:c r="C44" s="57" t="str">
        <x:f>IF('Inputs'!$C$4="Fictional example",IF(LEN('Inputs'!C71&amp;"")=0,"",'Inputs'!C71),IF(LEN('Inputs'!C97&amp;"")=0,"",'Inputs'!C97))</x:f>
      </x:c>
      <x:c r="D44" s="36" t="str">
        <x:f>IF('Inputs'!$C$4="Fictional example",IF(LEN('Inputs'!D71&amp;"")=0,"",'Inputs'!D71),IF(LEN('Inputs'!D97&amp;"")=0,"",'Inputs'!D97))</x:f>
      </x:c>
      <x:c r="E44" s="36" t="str">
        <x:f>IF('Inputs'!$C$4="Fictional example",IF(LEN('Inputs'!E71&amp;"")=0,"",'Inputs'!E71),IF(LEN('Inputs'!E97&amp;"")=0,"",'Inputs'!E97))</x:f>
      </x:c>
      <x:c r="F44" s="5" t="str">
        <x:f>IF('Inputs'!$C$4="Fictional example",IF(LEN('Inputs'!F71&amp;"")=0,"",'Inputs'!F71),IF(LEN('Inputs'!F97&amp;"")=0,"",'Inputs'!F97))</x:f>
      </x:c>
      <x:c r="G44" s="59" t="str">
        <x:f>IF('Inputs'!$C$4="Fictional example",IF(LEN('Inputs'!G71&amp;"")=0,"",'Inputs'!G71),IF(LEN('Inputs'!G97&amp;"")=0,"",'Inputs'!G97))</x:f>
      </x:c>
      <x:c r="H44" s="59" t="str">
        <x:f>IF('Inputs'!$C$4="Fictional example",IF(LEN('Inputs'!H71&amp;"")=0,"",'Inputs'!H71),IF(LEN('Inputs'!H97&amp;"")=0,"",'Inputs'!H97))</x:f>
      </x:c>
      <x:c r="I44" s="59" t="str">
        <x:f>IF(COUNTA(B44:H44)=0,"Unused",IF(AND(B44="",C44="",D44="",E44="",F44="",G44="",H44=""),"Unused",IF(OR(B44="",G44="",COUNT(C44:E44)&lt;&gt;3),"Missing row input",IF(OR(MIN(D44:E44)&lt;0,MOD(C44,1)&lt;&gt;0,C44&lt;'Inputs'!$C$47),"Invalid date / amount",IF(COUNTIFS($B$32:$B$51,B44)&gt;1,"Duplicate forecast ID",IF(F44="Separate",IF(OR(H44&lt;&gt;"",COUNTIFS($B$14:$B$23,B44)&gt;0),"Resolve order overlap","Ready"),IF(F44&lt;&gt;"Already in order","Choose handling",IF(COUNTIFS($B$14:$B$23,H44)&lt;&gt;1,"Missing order ID",IF(AND(C44=INDEX($C$14:$C$23,MATCH(H44,$B$14:$B$23,0)),D44=INDEX($D$14:$D$23,MATCH(H44,$B$14:$B$23,0)),E44=INDEX($E$14:$E$23,MATCH(H44,$B$14:$B$23,0))),"Excluded duplicate","Duplicate does not match")))))))))</x:f>
        <x:v>Unused</x:v>
      </x:c>
      <x:c r="J44" s="2"/>
      <x:c r="K44" s="2"/>
      <x:c r="L44" s="2"/>
    </x:row>
    <x:row r="45" ht="52" customHeight="1">
      <x:c r="A45" s="2"/>
      <x:c r="B45" s="5" t="str">
        <x:f>IF('Inputs'!$C$4="Fictional example",IF(LEN('Inputs'!B72&amp;"")=0,"",'Inputs'!B72),IF(LEN('Inputs'!B98&amp;"")=0,"",'Inputs'!B98))</x:f>
      </x:c>
      <x:c r="C45" s="57" t="str">
        <x:f>IF('Inputs'!$C$4="Fictional example",IF(LEN('Inputs'!C72&amp;"")=0,"",'Inputs'!C72),IF(LEN('Inputs'!C98&amp;"")=0,"",'Inputs'!C98))</x:f>
      </x:c>
      <x:c r="D45" s="36" t="str">
        <x:f>IF('Inputs'!$C$4="Fictional example",IF(LEN('Inputs'!D72&amp;"")=0,"",'Inputs'!D72),IF(LEN('Inputs'!D98&amp;"")=0,"",'Inputs'!D98))</x:f>
      </x:c>
      <x:c r="E45" s="36" t="str">
        <x:f>IF('Inputs'!$C$4="Fictional example",IF(LEN('Inputs'!E72&amp;"")=0,"",'Inputs'!E72),IF(LEN('Inputs'!E98&amp;"")=0,"",'Inputs'!E98))</x:f>
      </x:c>
      <x:c r="F45" s="5" t="str">
        <x:f>IF('Inputs'!$C$4="Fictional example",IF(LEN('Inputs'!F72&amp;"")=0,"",'Inputs'!F72),IF(LEN('Inputs'!F98&amp;"")=0,"",'Inputs'!F98))</x:f>
      </x:c>
      <x:c r="G45" s="59" t="str">
        <x:f>IF('Inputs'!$C$4="Fictional example",IF(LEN('Inputs'!G72&amp;"")=0,"",'Inputs'!G72),IF(LEN('Inputs'!G98&amp;"")=0,"",'Inputs'!G98))</x:f>
      </x:c>
      <x:c r="H45" s="59" t="str">
        <x:f>IF('Inputs'!$C$4="Fictional example",IF(LEN('Inputs'!H72&amp;"")=0,"",'Inputs'!H72),IF(LEN('Inputs'!H98&amp;"")=0,"",'Inputs'!H98))</x:f>
      </x:c>
      <x:c r="I45" s="59" t="str">
        <x:f>IF(COUNTA(B45:H45)=0,"Unused",IF(AND(B45="",C45="",D45="",E45="",F45="",G45="",H45=""),"Unused",IF(OR(B45="",G45="",COUNT(C45:E45)&lt;&gt;3),"Missing row input",IF(OR(MIN(D45:E45)&lt;0,MOD(C45,1)&lt;&gt;0,C45&lt;'Inputs'!$C$47),"Invalid date / amount",IF(COUNTIFS($B$32:$B$51,B45)&gt;1,"Duplicate forecast ID",IF(F45="Separate",IF(OR(H45&lt;&gt;"",COUNTIFS($B$14:$B$23,B45)&gt;0),"Resolve order overlap","Ready"),IF(F45&lt;&gt;"Already in order","Choose handling",IF(COUNTIFS($B$14:$B$23,H45)&lt;&gt;1,"Missing order ID",IF(AND(C45=INDEX($C$14:$C$23,MATCH(H45,$B$14:$B$23,0)),D45=INDEX($D$14:$D$23,MATCH(H45,$B$14:$B$23,0)),E45=INDEX($E$14:$E$23,MATCH(H45,$B$14:$B$23,0))),"Excluded duplicate","Duplicate does not match")))))))))</x:f>
        <x:v>Unused</x:v>
      </x:c>
      <x:c r="J45" s="2"/>
      <x:c r="K45" s="2"/>
      <x:c r="L45" s="2"/>
    </x:row>
    <x:row r="46" ht="52" customHeight="1">
      <x:c r="A46" s="2"/>
      <x:c r="B46" s="5" t="str">
        <x:f>IF('Inputs'!$C$4="Fictional example",IF(LEN('Inputs'!B73&amp;"")=0,"",'Inputs'!B73),IF(LEN('Inputs'!B99&amp;"")=0,"",'Inputs'!B99))</x:f>
      </x:c>
      <x:c r="C46" s="57" t="str">
        <x:f>IF('Inputs'!$C$4="Fictional example",IF(LEN('Inputs'!C73&amp;"")=0,"",'Inputs'!C73),IF(LEN('Inputs'!C99&amp;"")=0,"",'Inputs'!C99))</x:f>
      </x:c>
      <x:c r="D46" s="36" t="str">
        <x:f>IF('Inputs'!$C$4="Fictional example",IF(LEN('Inputs'!D73&amp;"")=0,"",'Inputs'!D73),IF(LEN('Inputs'!D99&amp;"")=0,"",'Inputs'!D99))</x:f>
      </x:c>
      <x:c r="E46" s="36" t="str">
        <x:f>IF('Inputs'!$C$4="Fictional example",IF(LEN('Inputs'!E73&amp;"")=0,"",'Inputs'!E73),IF(LEN('Inputs'!E99&amp;"")=0,"",'Inputs'!E99))</x:f>
      </x:c>
      <x:c r="F46" s="5" t="str">
        <x:f>IF('Inputs'!$C$4="Fictional example",IF(LEN('Inputs'!F73&amp;"")=0,"",'Inputs'!F73),IF(LEN('Inputs'!F99&amp;"")=0,"",'Inputs'!F99))</x:f>
      </x:c>
      <x:c r="G46" s="59" t="str">
        <x:f>IF('Inputs'!$C$4="Fictional example",IF(LEN('Inputs'!G73&amp;"")=0,"",'Inputs'!G73),IF(LEN('Inputs'!G99&amp;"")=0,"",'Inputs'!G99))</x:f>
      </x:c>
      <x:c r="H46" s="59" t="str">
        <x:f>IF('Inputs'!$C$4="Fictional example",IF(LEN('Inputs'!H73&amp;"")=0,"",'Inputs'!H73),IF(LEN('Inputs'!H99&amp;"")=0,"",'Inputs'!H99))</x:f>
      </x:c>
      <x:c r="I46" s="59" t="str">
        <x:f>IF(COUNTA(B46:H46)=0,"Unused",IF(AND(B46="",C46="",D46="",E46="",F46="",G46="",H46=""),"Unused",IF(OR(B46="",G46="",COUNT(C46:E46)&lt;&gt;3),"Missing row input",IF(OR(MIN(D46:E46)&lt;0,MOD(C46,1)&lt;&gt;0,C46&lt;'Inputs'!$C$47),"Invalid date / amount",IF(COUNTIFS($B$32:$B$51,B46)&gt;1,"Duplicate forecast ID",IF(F46="Separate",IF(OR(H46&lt;&gt;"",COUNTIFS($B$14:$B$23,B46)&gt;0),"Resolve order overlap","Ready"),IF(F46&lt;&gt;"Already in order","Choose handling",IF(COUNTIFS($B$14:$B$23,H46)&lt;&gt;1,"Missing order ID",IF(AND(C46=INDEX($C$14:$C$23,MATCH(H46,$B$14:$B$23,0)),D46=INDEX($D$14:$D$23,MATCH(H46,$B$14:$B$23,0)),E46=INDEX($E$14:$E$23,MATCH(H46,$B$14:$B$23,0))),"Excluded duplicate","Duplicate does not match")))))))))</x:f>
        <x:v>Unused</x:v>
      </x:c>
      <x:c r="J46" s="2"/>
      <x:c r="K46" s="2"/>
      <x:c r="L46" s="2"/>
    </x:row>
    <x:row r="47" ht="52" customHeight="1">
      <x:c r="A47" s="2"/>
      <x:c r="B47" s="5" t="str">
        <x:f>IF('Inputs'!$C$4="Fictional example",IF(LEN('Inputs'!B74&amp;"")=0,"",'Inputs'!B74),IF(LEN('Inputs'!B100&amp;"")=0,"",'Inputs'!B100))</x:f>
      </x:c>
      <x:c r="C47" s="57" t="str">
        <x:f>IF('Inputs'!$C$4="Fictional example",IF(LEN('Inputs'!C74&amp;"")=0,"",'Inputs'!C74),IF(LEN('Inputs'!C100&amp;"")=0,"",'Inputs'!C100))</x:f>
      </x:c>
      <x:c r="D47" s="36" t="str">
        <x:f>IF('Inputs'!$C$4="Fictional example",IF(LEN('Inputs'!D74&amp;"")=0,"",'Inputs'!D74),IF(LEN('Inputs'!D100&amp;"")=0,"",'Inputs'!D100))</x:f>
      </x:c>
      <x:c r="E47" s="36" t="str">
        <x:f>IF('Inputs'!$C$4="Fictional example",IF(LEN('Inputs'!E74&amp;"")=0,"",'Inputs'!E74),IF(LEN('Inputs'!E100&amp;"")=0,"",'Inputs'!E100))</x:f>
      </x:c>
      <x:c r="F47" s="5" t="str">
        <x:f>IF('Inputs'!$C$4="Fictional example",IF(LEN('Inputs'!F74&amp;"")=0,"",'Inputs'!F74),IF(LEN('Inputs'!F100&amp;"")=0,"",'Inputs'!F100))</x:f>
      </x:c>
      <x:c r="G47" s="59" t="str">
        <x:f>IF('Inputs'!$C$4="Fictional example",IF(LEN('Inputs'!G74&amp;"")=0,"",'Inputs'!G74),IF(LEN('Inputs'!G100&amp;"")=0,"",'Inputs'!G100))</x:f>
      </x:c>
      <x:c r="H47" s="59" t="str">
        <x:f>IF('Inputs'!$C$4="Fictional example",IF(LEN('Inputs'!H74&amp;"")=0,"",'Inputs'!H74),IF(LEN('Inputs'!H100&amp;"")=0,"",'Inputs'!H100))</x:f>
      </x:c>
      <x:c r="I47" s="59" t="str">
        <x:f>IF(COUNTA(B47:H47)=0,"Unused",IF(AND(B47="",C47="",D47="",E47="",F47="",G47="",H47=""),"Unused",IF(OR(B47="",G47="",COUNT(C47:E47)&lt;&gt;3),"Missing row input",IF(OR(MIN(D47:E47)&lt;0,MOD(C47,1)&lt;&gt;0,C47&lt;'Inputs'!$C$47),"Invalid date / amount",IF(COUNTIFS($B$32:$B$51,B47)&gt;1,"Duplicate forecast ID",IF(F47="Separate",IF(OR(H47&lt;&gt;"",COUNTIFS($B$14:$B$23,B47)&gt;0),"Resolve order overlap","Ready"),IF(F47&lt;&gt;"Already in order","Choose handling",IF(COUNTIFS($B$14:$B$23,H47)&lt;&gt;1,"Missing order ID",IF(AND(C47=INDEX($C$14:$C$23,MATCH(H47,$B$14:$B$23,0)),D47=INDEX($D$14:$D$23,MATCH(H47,$B$14:$B$23,0)),E47=INDEX($E$14:$E$23,MATCH(H47,$B$14:$B$23,0))),"Excluded duplicate","Duplicate does not match")))))))))</x:f>
        <x:v>Unused</x:v>
      </x:c>
      <x:c r="J47" s="2"/>
      <x:c r="K47" s="2"/>
      <x:c r="L47" s="2"/>
    </x:row>
    <x:row r="48" ht="52" customHeight="1">
      <x:c r="A48" s="2"/>
      <x:c r="B48" s="5" t="str">
        <x:f>IF('Inputs'!$C$4="Fictional example",IF(LEN('Inputs'!B75&amp;"")=0,"",'Inputs'!B75),IF(LEN('Inputs'!B101&amp;"")=0,"",'Inputs'!B101))</x:f>
      </x:c>
      <x:c r="C48" s="57" t="str">
        <x:f>IF('Inputs'!$C$4="Fictional example",IF(LEN('Inputs'!C75&amp;"")=0,"",'Inputs'!C75),IF(LEN('Inputs'!C101&amp;"")=0,"",'Inputs'!C101))</x:f>
      </x:c>
      <x:c r="D48" s="36" t="str">
        <x:f>IF('Inputs'!$C$4="Fictional example",IF(LEN('Inputs'!D75&amp;"")=0,"",'Inputs'!D75),IF(LEN('Inputs'!D101&amp;"")=0,"",'Inputs'!D101))</x:f>
      </x:c>
      <x:c r="E48" s="36" t="str">
        <x:f>IF('Inputs'!$C$4="Fictional example",IF(LEN('Inputs'!E75&amp;"")=0,"",'Inputs'!E75),IF(LEN('Inputs'!E101&amp;"")=0,"",'Inputs'!E101))</x:f>
      </x:c>
      <x:c r="F48" s="5" t="str">
        <x:f>IF('Inputs'!$C$4="Fictional example",IF(LEN('Inputs'!F75&amp;"")=0,"",'Inputs'!F75),IF(LEN('Inputs'!F101&amp;"")=0,"",'Inputs'!F101))</x:f>
      </x:c>
      <x:c r="G48" s="59" t="str">
        <x:f>IF('Inputs'!$C$4="Fictional example",IF(LEN('Inputs'!G75&amp;"")=0,"",'Inputs'!G75),IF(LEN('Inputs'!G101&amp;"")=0,"",'Inputs'!G101))</x:f>
      </x:c>
      <x:c r="H48" s="59" t="str">
        <x:f>IF('Inputs'!$C$4="Fictional example",IF(LEN('Inputs'!H75&amp;"")=0,"",'Inputs'!H75),IF(LEN('Inputs'!H101&amp;"")=0,"",'Inputs'!H101))</x:f>
      </x:c>
      <x:c r="I48" s="59" t="str">
        <x:f>IF(COUNTA(B48:H48)=0,"Unused",IF(AND(B48="",C48="",D48="",E48="",F48="",G48="",H48=""),"Unused",IF(OR(B48="",G48="",COUNT(C48:E48)&lt;&gt;3),"Missing row input",IF(OR(MIN(D48:E48)&lt;0,MOD(C48,1)&lt;&gt;0,C48&lt;'Inputs'!$C$47),"Invalid date / amount",IF(COUNTIFS($B$32:$B$51,B48)&gt;1,"Duplicate forecast ID",IF(F48="Separate",IF(OR(H48&lt;&gt;"",COUNTIFS($B$14:$B$23,B48)&gt;0),"Resolve order overlap","Ready"),IF(F48&lt;&gt;"Already in order","Choose handling",IF(COUNTIFS($B$14:$B$23,H48)&lt;&gt;1,"Missing order ID",IF(AND(C48=INDEX($C$14:$C$23,MATCH(H48,$B$14:$B$23,0)),D48=INDEX($D$14:$D$23,MATCH(H48,$B$14:$B$23,0)),E48=INDEX($E$14:$E$23,MATCH(H48,$B$14:$B$23,0))),"Excluded duplicate","Duplicate does not match")))))))))</x:f>
        <x:v>Unused</x:v>
      </x:c>
      <x:c r="J48" s="2"/>
      <x:c r="K48" s="2"/>
      <x:c r="L48" s="2"/>
    </x:row>
    <x:row r="49" ht="52" customHeight="1">
      <x:c r="A49" s="2"/>
      <x:c r="B49" s="5" t="str">
        <x:f>IF('Inputs'!$C$4="Fictional example",IF(LEN('Inputs'!B76&amp;"")=0,"",'Inputs'!B76),IF(LEN('Inputs'!B102&amp;"")=0,"",'Inputs'!B102))</x:f>
      </x:c>
      <x:c r="C49" s="57" t="str">
        <x:f>IF('Inputs'!$C$4="Fictional example",IF(LEN('Inputs'!C76&amp;"")=0,"",'Inputs'!C76),IF(LEN('Inputs'!C102&amp;"")=0,"",'Inputs'!C102))</x:f>
      </x:c>
      <x:c r="D49" s="36" t="str">
        <x:f>IF('Inputs'!$C$4="Fictional example",IF(LEN('Inputs'!D76&amp;"")=0,"",'Inputs'!D76),IF(LEN('Inputs'!D102&amp;"")=0,"",'Inputs'!D102))</x:f>
      </x:c>
      <x:c r="E49" s="36" t="str">
        <x:f>IF('Inputs'!$C$4="Fictional example",IF(LEN('Inputs'!E76&amp;"")=0,"",'Inputs'!E76),IF(LEN('Inputs'!E102&amp;"")=0,"",'Inputs'!E102))</x:f>
      </x:c>
      <x:c r="F49" s="5" t="str">
        <x:f>IF('Inputs'!$C$4="Fictional example",IF(LEN('Inputs'!F76&amp;"")=0,"",'Inputs'!F76),IF(LEN('Inputs'!F102&amp;"")=0,"",'Inputs'!F102))</x:f>
      </x:c>
      <x:c r="G49" s="59" t="str">
        <x:f>IF('Inputs'!$C$4="Fictional example",IF(LEN('Inputs'!G76&amp;"")=0,"",'Inputs'!G76),IF(LEN('Inputs'!G102&amp;"")=0,"",'Inputs'!G102))</x:f>
      </x:c>
      <x:c r="H49" s="59" t="str">
        <x:f>IF('Inputs'!$C$4="Fictional example",IF(LEN('Inputs'!H76&amp;"")=0,"",'Inputs'!H76),IF(LEN('Inputs'!H102&amp;"")=0,"",'Inputs'!H102))</x:f>
      </x:c>
      <x:c r="I49" s="59" t="str">
        <x:f>IF(COUNTA(B49:H49)=0,"Unused",IF(AND(B49="",C49="",D49="",E49="",F49="",G49="",H49=""),"Unused",IF(OR(B49="",G49="",COUNT(C49:E49)&lt;&gt;3),"Missing row input",IF(OR(MIN(D49:E49)&lt;0,MOD(C49,1)&lt;&gt;0,C49&lt;'Inputs'!$C$47),"Invalid date / amount",IF(COUNTIFS($B$32:$B$51,B49)&gt;1,"Duplicate forecast ID",IF(F49="Separate",IF(OR(H49&lt;&gt;"",COUNTIFS($B$14:$B$23,B49)&gt;0),"Resolve order overlap","Ready"),IF(F49&lt;&gt;"Already in order","Choose handling",IF(COUNTIFS($B$14:$B$23,H49)&lt;&gt;1,"Missing order ID",IF(AND(C49=INDEX($C$14:$C$23,MATCH(H49,$B$14:$B$23,0)),D49=INDEX($D$14:$D$23,MATCH(H49,$B$14:$B$23,0)),E49=INDEX($E$14:$E$23,MATCH(H49,$B$14:$B$23,0))),"Excluded duplicate","Duplicate does not match")))))))))</x:f>
        <x:v>Unused</x:v>
      </x:c>
      <x:c r="J49" s="2"/>
      <x:c r="K49" s="2"/>
      <x:c r="L49" s="2"/>
    </x:row>
    <x:row r="50" ht="52" customHeight="1">
      <x:c r="A50" s="2"/>
      <x:c r="B50" s="5" t="str">
        <x:f>IF('Inputs'!$C$4="Fictional example",IF(LEN('Inputs'!B77&amp;"")=0,"",'Inputs'!B77),IF(LEN('Inputs'!B103&amp;"")=0,"",'Inputs'!B103))</x:f>
      </x:c>
      <x:c r="C50" s="57" t="str">
        <x:f>IF('Inputs'!$C$4="Fictional example",IF(LEN('Inputs'!C77&amp;"")=0,"",'Inputs'!C77),IF(LEN('Inputs'!C103&amp;"")=0,"",'Inputs'!C103))</x:f>
      </x:c>
      <x:c r="D50" s="36" t="str">
        <x:f>IF('Inputs'!$C$4="Fictional example",IF(LEN('Inputs'!D77&amp;"")=0,"",'Inputs'!D77),IF(LEN('Inputs'!D103&amp;"")=0,"",'Inputs'!D103))</x:f>
      </x:c>
      <x:c r="E50" s="36" t="str">
        <x:f>IF('Inputs'!$C$4="Fictional example",IF(LEN('Inputs'!E77&amp;"")=0,"",'Inputs'!E77),IF(LEN('Inputs'!E103&amp;"")=0,"",'Inputs'!E103))</x:f>
      </x:c>
      <x:c r="F50" s="5" t="str">
        <x:f>IF('Inputs'!$C$4="Fictional example",IF(LEN('Inputs'!F77&amp;"")=0,"",'Inputs'!F77),IF(LEN('Inputs'!F103&amp;"")=0,"",'Inputs'!F103))</x:f>
      </x:c>
      <x:c r="G50" s="59" t="str">
        <x:f>IF('Inputs'!$C$4="Fictional example",IF(LEN('Inputs'!G77&amp;"")=0,"",'Inputs'!G77),IF(LEN('Inputs'!G103&amp;"")=0,"",'Inputs'!G103))</x:f>
      </x:c>
      <x:c r="H50" s="59" t="str">
        <x:f>IF('Inputs'!$C$4="Fictional example",IF(LEN('Inputs'!H77&amp;"")=0,"",'Inputs'!H77),IF(LEN('Inputs'!H103&amp;"")=0,"",'Inputs'!H103))</x:f>
      </x:c>
      <x:c r="I50" s="59" t="str">
        <x:f>IF(COUNTA(B50:H50)=0,"Unused",IF(AND(B50="",C50="",D50="",E50="",F50="",G50="",H50=""),"Unused",IF(OR(B50="",G50="",COUNT(C50:E50)&lt;&gt;3),"Missing row input",IF(OR(MIN(D50:E50)&lt;0,MOD(C50,1)&lt;&gt;0,C50&lt;'Inputs'!$C$47),"Invalid date / amount",IF(COUNTIFS($B$32:$B$51,B50)&gt;1,"Duplicate forecast ID",IF(F50="Separate",IF(OR(H50&lt;&gt;"",COUNTIFS($B$14:$B$23,B50)&gt;0),"Resolve order overlap","Ready"),IF(F50&lt;&gt;"Already in order","Choose handling",IF(COUNTIFS($B$14:$B$23,H50)&lt;&gt;1,"Missing order ID",IF(AND(C50=INDEX($C$14:$C$23,MATCH(H50,$B$14:$B$23,0)),D50=INDEX($D$14:$D$23,MATCH(H50,$B$14:$B$23,0)),E50=INDEX($E$14:$E$23,MATCH(H50,$B$14:$B$23,0))),"Excluded duplicate","Duplicate does not match")))))))))</x:f>
        <x:v>Unused</x:v>
      </x:c>
      <x:c r="J50" s="2"/>
      <x:c r="K50" s="2"/>
      <x:c r="L50" s="2"/>
    </x:row>
    <x:row r="51" ht="52" customHeight="1">
      <x:c r="A51" s="2"/>
      <x:c r="B51" s="5" t="str">
        <x:f>IF('Inputs'!$C$4="Fictional example",IF(LEN('Inputs'!B78&amp;"")=0,"",'Inputs'!B78),IF(LEN('Inputs'!B104&amp;"")=0,"",'Inputs'!B104))</x:f>
      </x:c>
      <x:c r="C51" s="57" t="str">
        <x:f>IF('Inputs'!$C$4="Fictional example",IF(LEN('Inputs'!C78&amp;"")=0,"",'Inputs'!C78),IF(LEN('Inputs'!C104&amp;"")=0,"",'Inputs'!C104))</x:f>
      </x:c>
      <x:c r="D51" s="36" t="str">
        <x:f>IF('Inputs'!$C$4="Fictional example",IF(LEN('Inputs'!D78&amp;"")=0,"",'Inputs'!D78),IF(LEN('Inputs'!D104&amp;"")=0,"",'Inputs'!D104))</x:f>
      </x:c>
      <x:c r="E51" s="36" t="str">
        <x:f>IF('Inputs'!$C$4="Fictional example",IF(LEN('Inputs'!E78&amp;"")=0,"",'Inputs'!E78),IF(LEN('Inputs'!E104&amp;"")=0,"",'Inputs'!E104))</x:f>
      </x:c>
      <x:c r="F51" s="5" t="str">
        <x:f>IF('Inputs'!$C$4="Fictional example",IF(LEN('Inputs'!F78&amp;"")=0,"",'Inputs'!F78),IF(LEN('Inputs'!F104&amp;"")=0,"",'Inputs'!F104))</x:f>
      </x:c>
      <x:c r="G51" s="59" t="str">
        <x:f>IF('Inputs'!$C$4="Fictional example",IF(LEN('Inputs'!G78&amp;"")=0,"",'Inputs'!G78),IF(LEN('Inputs'!G104&amp;"")=0,"",'Inputs'!G104))</x:f>
      </x:c>
      <x:c r="H51" s="59" t="str">
        <x:f>IF('Inputs'!$C$4="Fictional example",IF(LEN('Inputs'!H78&amp;"")=0,"",'Inputs'!H78),IF(LEN('Inputs'!H104&amp;"")=0,"",'Inputs'!H104))</x:f>
      </x:c>
      <x:c r="I51" s="59" t="str">
        <x:f>IF(COUNTA(B51:H51)=0,"Unused",IF(AND(B51="",C51="",D51="",E51="",F51="",G51="",H51=""),"Unused",IF(OR(B51="",G51="",COUNT(C51:E51)&lt;&gt;3),"Missing row input",IF(OR(MIN(D51:E51)&lt;0,MOD(C51,1)&lt;&gt;0,C51&lt;'Inputs'!$C$47),"Invalid date / amount",IF(COUNTIFS($B$32:$B$51,B51)&gt;1,"Duplicate forecast ID",IF(F51="Separate",IF(OR(H51&lt;&gt;"",COUNTIFS($B$14:$B$23,B51)&gt;0),"Resolve order overlap","Ready"),IF(F51&lt;&gt;"Already in order","Choose handling",IF(COUNTIFS($B$14:$B$23,H51)&lt;&gt;1,"Missing order ID",IF(AND(C51=INDEX($C$14:$C$23,MATCH(H51,$B$14:$B$23,0)),D51=INDEX($D$14:$D$23,MATCH(H51,$B$14:$B$23,0)),E51=INDEX($E$14:$E$23,MATCH(H51,$B$14:$B$23,0))),"Excluded duplicate","Duplicate does not match")))))))))</x:f>
        <x:v>Unused</x:v>
      </x:c>
      <x:c r="J51" s="2"/>
      <x:c r="K51" s="2"/>
      <x:c r="L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3" customHeight="1">
      <x:c r="A54" s="2"/>
      <x:c r="B54" s="2" t="str">
        <x:v>Only Ready company rows enter the forecast. Matched duplicates are excluded once.</x:v>
      </x:c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3" customHeight="1">
      <x:c r="A55" s="2"/>
      <x:c r="B55" s="2" t="str">
        <x:v>Missing, inconsistent or duplicate rows block company totals. Correct them in Inputs.</x:v>
      </x:c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23" customHeight="1">
      <x:c r="A56" s="2"/>
      <x:c r="B56" s="2" t="str">
        <x:v>The two confirmation inputs require your review of all existing commitments and duplicates.</x:v>
      </x:c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3" customHeight="1">
      <x:c r="A58" s="2"/>
      <x:c r="B58" s="2" t="str">
        <x:v>Date of first reserve shortfall</x:v>
      </x:c>
      <x:c r="C58" s="2"/>
      <x:c r="D58" s="2"/>
      <x:c r="E58" s="57" t="str">
        <x:f>IF(I6&lt;&gt;"Complete","n.a.",IF('Inputs'!C48&lt;'Inputs'!C49,'Inputs'!C47,IF(MIN(K70:K800)&gt;=0,"None in horizon",INDEX(B70:B800,MATCH(1,L70:L800,0)))))</x:f>
        <x:v>None in horizon</x:v>
      </x:c>
      <x:c r="F58" s="2"/>
      <x:c r="G58" s="2" t="str">
        <x:v>Days with negative order cash</x:v>
      </x:c>
      <x:c r="H58" s="2"/>
      <x:c r="I58" s="2"/>
      <x:c r="J58" s="12" t="n">
        <x:f>IF(D6="Complete",COUNTIFS(F70:F800,"&lt;0"),"n.a.")</x:f>
        <x:v>120</x:v>
      </x:c>
      <x:c r="K58" s="2"/>
      <x:c r="L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3" customHeight="1">
      <x:c r="A60" s="2"/>
      <x:c r="B60" s="2" t="str">
        <x:v>Modeled final company cash</x:v>
      </x:c>
      <x:c r="C60" s="2"/>
      <x:c r="D60" s="2"/>
      <x:c r="E60" s="36" t="n">
        <x:f>IF(I6="Complete",'Inputs'!C48+H9+SUMIFS(D32:D51,I32:I51,"Ready")-SUMIFS(E32:E51,I32:I51,"Ready"),"n.a.")</x:f>
        <x:v>102125</x:v>
      </x:c>
      <x:c r="F60" s="2"/>
      <x:c r="G60" s="2" t="str">
        <x:v>Reserve shortfall at lowest point</x:v>
      </x:c>
      <x:c r="H60" s="2"/>
      <x:c r="I60" s="2"/>
      <x:c r="J60" s="36" t="n">
        <x:f>IF(I6="Complete",MAX(0,'Inputs'!C49-L9),"n.a.")</x:f>
        <x:v>0</x:v>
      </x:c>
      <x:c r="K60" s="2"/>
      <x:c r="L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3" customHeight="1">
      <x:c r="A63" s="2"/>
      <x:c r="B63" s="2" t="str">
        <x:v>Daily forecast (end-of-day cash; all dates through collection, replenishment and company rows)</x:v>
      </x:c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34" customHeight="1">
      <x:c r="A69" s="2"/>
      <x:c r="B69" s="11" t="str">
        <x:v>Date</x:v>
      </x:c>
      <x:c r="C69" s="11" t="str">
        <x:v>Order receipts</x:v>
      </x:c>
      <x:c r="D69" s="11" t="str">
        <x:v>Order payments</x:v>
      </x:c>
      <x:c r="E69" s="11" t="str">
        <x:v>Order net</x:v>
      </x:c>
      <x:c r="F69" s="11" t="str">
        <x:v>Order cash</x:v>
      </x:c>
      <x:c r="G69" s="11" t="str">
        <x:v>Company receipts</x:v>
      </x:c>
      <x:c r="H69" s="11" t="str">
        <x:v>Company payments</x:v>
      </x:c>
      <x:c r="I69" s="11" t="str">
        <x:v>Company cash</x:v>
      </x:c>
      <x:c r="J69" s="11" t="str">
        <x:v>Reserve</x:v>
      </x:c>
      <x:c r="K69" s="11" t="str">
        <x:v>Above reserve</x:v>
      </x:c>
      <x:c r="L69" s="11" t="str">
        <x:v>Below reserve flag</x:v>
      </x:c>
    </x:row>
    <x:row r="70" ht="23" customHeight="1">
      <x:c r="A70" s="2"/>
      <x:c r="B70" s="60" t="n">
        <x:f>IF($D$6&lt;&gt;"Complete","",IF('Inputs'!$C$47+0&lt;=$D$9,'Inputs'!$C$47+0,""))</x:f>
        <x:v>46286</x:v>
      </x:c>
      <x:c r="C70" s="37" t="n">
        <x:f>IF(B70="","",SUMIFS($D$14:$D$23,$C$14:$C$23,B70))</x:f>
        <x:v>0</x:v>
      </x:c>
      <x:c r="D70" s="37" t="n">
        <x:f>IF(B70="","",SUMIFS($E$14:$E$23,$C$14:$C$23,B70))</x:f>
        <x:v>6000</x:v>
      </x:c>
      <x:c r="E70" s="37" t="n">
        <x:f>IF(B70="","",C70-D70)</x:f>
        <x:v>-6000</x:v>
      </x:c>
      <x:c r="F70" s="37" t="n">
        <x:f>IF(B70="","",0+E70)</x:f>
        <x:v>-6000</x:v>
      </x:c>
      <x:c r="G70" s="37" t="n">
        <x:f>IF(OR(B70="",$I$6&lt;&gt;"Complete"),"",SUMIFS($D$32:$D$51,$C$32:$C$51,B70,$I$32:$I$51,"Ready"))</x:f>
        <x:v>0</x:v>
      </x:c>
      <x:c r="H70" s="37" t="n">
        <x:f>IF(OR(B70="",$I$6&lt;&gt;"Complete"),"",SUMIFS($E$32:$E$51,$C$32:$C$51,B70,$I$32:$I$51,"Ready"))</x:f>
        <x:v>0</x:v>
      </x:c>
      <x:c r="I70" s="37" t="n">
        <x:f>IF(OR(B70="",$I$6&lt;&gt;"Complete"),"",'Inputs'!$C$48+E70+G70-H70)</x:f>
        <x:v>94000</x:v>
      </x:c>
      <x:c r="J70" s="37" t="n">
        <x:f>IF(OR(B70="",$I$6&lt;&gt;"Complete"),"",'Inputs'!$C$49)</x:f>
        <x:v>25000</x:v>
      </x:c>
      <x:c r="K70" s="37" t="n">
        <x:f>IF(OR(B70="",$I$6&lt;&gt;"Complete"),"",I70-J70)</x:f>
        <x:v>69000</x:v>
      </x:c>
      <x:c r="L70" s="61" t="n">
        <x:f>IF(OR(B70="",$I$6&lt;&gt;"Complete"),"",IF(K70&lt;0,1,0))</x:f>
        <x:v>0</x:v>
      </x:c>
    </x:row>
    <x:row r="71" ht="23" customHeight="1">
      <x:c r="A71" s="2"/>
      <x:c r="B71" s="60" t="n">
        <x:f>IF($D$6&lt;&gt;"Complete","",IF('Inputs'!$C$47+1&lt;=$D$9,'Inputs'!$C$47+1,""))</x:f>
        <x:v>46287</x:v>
      </x:c>
      <x:c r="C71" s="37" t="n">
        <x:f>IF(B71="","",SUMIFS($D$14:$D$23,$C$14:$C$23,B71))</x:f>
        <x:v>0</x:v>
      </x:c>
      <x:c r="D71" s="37" t="n">
        <x:f>IF(B71="","",SUMIFS($E$14:$E$23,$C$14:$C$23,B71))</x:f>
        <x:v>0</x:v>
      </x:c>
      <x:c r="E71" s="37" t="n">
        <x:f>IF(B71="","",C71-D71)</x:f>
        <x:v>0</x:v>
      </x:c>
      <x:c r="F71" s="37" t="n">
        <x:f>IF(B71="","",F70+E71)</x:f>
        <x:v>-6000</x:v>
      </x:c>
      <x:c r="G71" s="37" t="n">
        <x:f>IF(OR(B71="",$I$6&lt;&gt;"Complete"),"",SUMIFS($D$32:$D$51,$C$32:$C$51,B71,$I$32:$I$51,"Ready"))</x:f>
        <x:v>0</x:v>
      </x:c>
      <x:c r="H71" s="37" t="n">
        <x:f>IF(OR(B71="",$I$6&lt;&gt;"Complete"),"",SUMIFS($E$32:$E$51,$C$32:$C$51,B71,$I$32:$I$51,"Ready"))</x:f>
        <x:v>0</x:v>
      </x:c>
      <x:c r="I71" s="37" t="n">
        <x:f>IF(OR(B71="",$I$6&lt;&gt;"Complete"),"",I70+E71+G71-H71)</x:f>
        <x:v>94000</x:v>
      </x:c>
      <x:c r="J71" s="37" t="n">
        <x:f>IF(OR(B71="",$I$6&lt;&gt;"Complete"),"",'Inputs'!$C$49)</x:f>
        <x:v>25000</x:v>
      </x:c>
      <x:c r="K71" s="37" t="n">
        <x:f>IF(OR(B71="",$I$6&lt;&gt;"Complete"),"",I71-J71)</x:f>
        <x:v>69000</x:v>
      </x:c>
      <x:c r="L71" s="61" t="n">
        <x:f>IF(OR(B71="",$I$6&lt;&gt;"Complete"),"",IF(K71&lt;0,1,0))</x:f>
        <x:v>0</x:v>
      </x:c>
    </x:row>
    <x:row r="72" ht="23" customHeight="1">
      <x:c r="A72" s="2"/>
      <x:c r="B72" s="60" t="n">
        <x:f>IF($D$6&lt;&gt;"Complete","",IF('Inputs'!$C$47+2&lt;=$D$9,'Inputs'!$C$47+2,""))</x:f>
        <x:v>46288</x:v>
      </x:c>
      <x:c r="C72" s="37" t="n">
        <x:f>IF(B72="","",SUMIFS($D$14:$D$23,$C$14:$C$23,B72))</x:f>
        <x:v>0</x:v>
      </x:c>
      <x:c r="D72" s="37" t="n">
        <x:f>IF(B72="","",SUMIFS($E$14:$E$23,$C$14:$C$23,B72))</x:f>
        <x:v>0</x:v>
      </x:c>
      <x:c r="E72" s="37" t="n">
        <x:f>IF(B72="","",C72-D72)</x:f>
        <x:v>0</x:v>
      </x:c>
      <x:c r="F72" s="37" t="n">
        <x:f>IF(B72="","",F71+E72)</x:f>
        <x:v>-6000</x:v>
      </x:c>
      <x:c r="G72" s="37" t="n">
        <x:f>IF(OR(B72="",$I$6&lt;&gt;"Complete"),"",SUMIFS($D$32:$D$51,$C$32:$C$51,B72,$I$32:$I$51,"Ready"))</x:f>
        <x:v>0</x:v>
      </x:c>
      <x:c r="H72" s="37" t="n">
        <x:f>IF(OR(B72="",$I$6&lt;&gt;"Complete"),"",SUMIFS($E$32:$E$51,$C$32:$C$51,B72,$I$32:$I$51,"Ready"))</x:f>
        <x:v>0</x:v>
      </x:c>
      <x:c r="I72" s="37" t="n">
        <x:f>IF(OR(B72="",$I$6&lt;&gt;"Complete"),"",I71+E72+G72-H72)</x:f>
        <x:v>94000</x:v>
      </x:c>
      <x:c r="J72" s="37" t="n">
        <x:f>IF(OR(B72="",$I$6&lt;&gt;"Complete"),"",'Inputs'!$C$49)</x:f>
        <x:v>25000</x:v>
      </x:c>
      <x:c r="K72" s="37" t="n">
        <x:f>IF(OR(B72="",$I$6&lt;&gt;"Complete"),"",I72-J72)</x:f>
        <x:v>69000</x:v>
      </x:c>
      <x:c r="L72" s="61" t="n">
        <x:f>IF(OR(B72="",$I$6&lt;&gt;"Complete"),"",IF(K72&lt;0,1,0))</x:f>
        <x:v>0</x:v>
      </x:c>
    </x:row>
    <x:row r="73" ht="23" customHeight="1">
      <x:c r="A73" s="2"/>
      <x:c r="B73" s="60" t="n">
        <x:f>IF($D$6&lt;&gt;"Complete","",IF('Inputs'!$C$47+3&lt;=$D$9,'Inputs'!$C$47+3,""))</x:f>
        <x:v>46289</x:v>
      </x:c>
      <x:c r="C73" s="37" t="n">
        <x:f>IF(B73="","",SUMIFS($D$14:$D$23,$C$14:$C$23,B73))</x:f>
        <x:v>0</x:v>
      </x:c>
      <x:c r="D73" s="37" t="n">
        <x:f>IF(B73="","",SUMIFS($E$14:$E$23,$C$14:$C$23,B73))</x:f>
        <x:v>0</x:v>
      </x:c>
      <x:c r="E73" s="37" t="n">
        <x:f>IF(B73="","",C73-D73)</x:f>
        <x:v>0</x:v>
      </x:c>
      <x:c r="F73" s="37" t="n">
        <x:f>IF(B73="","",F72+E73)</x:f>
        <x:v>-6000</x:v>
      </x:c>
      <x:c r="G73" s="37" t="n">
        <x:f>IF(OR(B73="",$I$6&lt;&gt;"Complete"),"",SUMIFS($D$32:$D$51,$C$32:$C$51,B73,$I$32:$I$51,"Ready"))</x:f>
        <x:v>0</x:v>
      </x:c>
      <x:c r="H73" s="37" t="n">
        <x:f>IF(OR(B73="",$I$6&lt;&gt;"Complete"),"",SUMIFS($E$32:$E$51,$C$32:$C$51,B73,$I$32:$I$51,"Ready"))</x:f>
        <x:v>0</x:v>
      </x:c>
      <x:c r="I73" s="37" t="n">
        <x:f>IF(OR(B73="",$I$6&lt;&gt;"Complete"),"",I72+E73+G73-H73)</x:f>
        <x:v>94000</x:v>
      </x:c>
      <x:c r="J73" s="37" t="n">
        <x:f>IF(OR(B73="",$I$6&lt;&gt;"Complete"),"",'Inputs'!$C$49)</x:f>
        <x:v>25000</x:v>
      </x:c>
      <x:c r="K73" s="37" t="n">
        <x:f>IF(OR(B73="",$I$6&lt;&gt;"Complete"),"",I73-J73)</x:f>
        <x:v>69000</x:v>
      </x:c>
      <x:c r="L73" s="61" t="n">
        <x:f>IF(OR(B73="",$I$6&lt;&gt;"Complete"),"",IF(K73&lt;0,1,0))</x:f>
        <x:v>0</x:v>
      </x:c>
    </x:row>
    <x:row r="74" ht="23" customHeight="1">
      <x:c r="A74" s="2"/>
      <x:c r="B74" s="60" t="n">
        <x:f>IF($D$6&lt;&gt;"Complete","",IF('Inputs'!$C$47+4&lt;=$D$9,'Inputs'!$C$47+4,""))</x:f>
        <x:v>46290</x:v>
      </x:c>
      <x:c r="C74" s="37" t="n">
        <x:f>IF(B74="","",SUMIFS($D$14:$D$23,$C$14:$C$23,B74))</x:f>
        <x:v>0</x:v>
      </x:c>
      <x:c r="D74" s="37" t="n">
        <x:f>IF(B74="","",SUMIFS($E$14:$E$23,$C$14:$C$23,B74))</x:f>
        <x:v>0</x:v>
      </x:c>
      <x:c r="E74" s="37" t="n">
        <x:f>IF(B74="","",C74-D74)</x:f>
        <x:v>0</x:v>
      </x:c>
      <x:c r="F74" s="37" t="n">
        <x:f>IF(B74="","",F73+E74)</x:f>
        <x:v>-6000</x:v>
      </x:c>
      <x:c r="G74" s="37" t="n">
        <x:f>IF(OR(B74="",$I$6&lt;&gt;"Complete"),"",SUMIFS($D$32:$D$51,$C$32:$C$51,B74,$I$32:$I$51,"Ready"))</x:f>
        <x:v>0</x:v>
      </x:c>
      <x:c r="H74" s="37" t="n">
        <x:f>IF(OR(B74="",$I$6&lt;&gt;"Complete"),"",SUMIFS($E$32:$E$51,$C$32:$C$51,B74,$I$32:$I$51,"Ready"))</x:f>
        <x:v>0</x:v>
      </x:c>
      <x:c r="I74" s="37" t="n">
        <x:f>IF(OR(B74="",$I$6&lt;&gt;"Complete"),"",I73+E74+G74-H74)</x:f>
        <x:v>94000</x:v>
      </x:c>
      <x:c r="J74" s="37" t="n">
        <x:f>IF(OR(B74="",$I$6&lt;&gt;"Complete"),"",'Inputs'!$C$49)</x:f>
        <x:v>25000</x:v>
      </x:c>
      <x:c r="K74" s="37" t="n">
        <x:f>IF(OR(B74="",$I$6&lt;&gt;"Complete"),"",I74-J74)</x:f>
        <x:v>69000</x:v>
      </x:c>
      <x:c r="L74" s="61" t="n">
        <x:f>IF(OR(B74="",$I$6&lt;&gt;"Complete"),"",IF(K74&lt;0,1,0))</x:f>
        <x:v>0</x:v>
      </x:c>
    </x:row>
    <x:row r="75" ht="23" customHeight="1">
      <x:c r="A75" s="2"/>
      <x:c r="B75" s="60" t="n">
        <x:f>IF($D$6&lt;&gt;"Complete","",IF('Inputs'!$C$47+5&lt;=$D$9,'Inputs'!$C$47+5,""))</x:f>
        <x:v>46291</x:v>
      </x:c>
      <x:c r="C75" s="37" t="n">
        <x:f>IF(B75="","",SUMIFS($D$14:$D$23,$C$14:$C$23,B75))</x:f>
        <x:v>0</x:v>
      </x:c>
      <x:c r="D75" s="37" t="n">
        <x:f>IF(B75="","",SUMIFS($E$14:$E$23,$C$14:$C$23,B75))</x:f>
        <x:v>0</x:v>
      </x:c>
      <x:c r="E75" s="37" t="n">
        <x:f>IF(B75="","",C75-D75)</x:f>
        <x:v>0</x:v>
      </x:c>
      <x:c r="F75" s="37" t="n">
        <x:f>IF(B75="","",F74+E75)</x:f>
        <x:v>-6000</x:v>
      </x:c>
      <x:c r="G75" s="37" t="n">
        <x:f>IF(OR(B75="",$I$6&lt;&gt;"Complete"),"",SUMIFS($D$32:$D$51,$C$32:$C$51,B75,$I$32:$I$51,"Ready"))</x:f>
        <x:v>0</x:v>
      </x:c>
      <x:c r="H75" s="37" t="n">
        <x:f>IF(OR(B75="",$I$6&lt;&gt;"Complete"),"",SUMIFS($E$32:$E$51,$C$32:$C$51,B75,$I$32:$I$51,"Ready"))</x:f>
        <x:v>0</x:v>
      </x:c>
      <x:c r="I75" s="37" t="n">
        <x:f>IF(OR(B75="",$I$6&lt;&gt;"Complete"),"",I74+E75+G75-H75)</x:f>
        <x:v>94000</x:v>
      </x:c>
      <x:c r="J75" s="37" t="n">
        <x:f>IF(OR(B75="",$I$6&lt;&gt;"Complete"),"",'Inputs'!$C$49)</x:f>
        <x:v>25000</x:v>
      </x:c>
      <x:c r="K75" s="37" t="n">
        <x:f>IF(OR(B75="",$I$6&lt;&gt;"Complete"),"",I75-J75)</x:f>
        <x:v>69000</x:v>
      </x:c>
      <x:c r="L75" s="61" t="n">
        <x:f>IF(OR(B75="",$I$6&lt;&gt;"Complete"),"",IF(K75&lt;0,1,0))</x:f>
        <x:v>0</x:v>
      </x:c>
    </x:row>
    <x:row r="76" ht="23" customHeight="1">
      <x:c r="A76" s="2"/>
      <x:c r="B76" s="60" t="n">
        <x:f>IF($D$6&lt;&gt;"Complete","",IF('Inputs'!$C$47+6&lt;=$D$9,'Inputs'!$C$47+6,""))</x:f>
        <x:v>46292</x:v>
      </x:c>
      <x:c r="C76" s="37" t="n">
        <x:f>IF(B76="","",SUMIFS($D$14:$D$23,$C$14:$C$23,B76))</x:f>
        <x:v>0</x:v>
      </x:c>
      <x:c r="D76" s="37" t="n">
        <x:f>IF(B76="","",SUMIFS($E$14:$E$23,$C$14:$C$23,B76))</x:f>
        <x:v>0</x:v>
      </x:c>
      <x:c r="E76" s="37" t="n">
        <x:f>IF(B76="","",C76-D76)</x:f>
        <x:v>0</x:v>
      </x:c>
      <x:c r="F76" s="37" t="n">
        <x:f>IF(B76="","",F75+E76)</x:f>
        <x:v>-6000</x:v>
      </x:c>
      <x:c r="G76" s="37" t="n">
        <x:f>IF(OR(B76="",$I$6&lt;&gt;"Complete"),"",SUMIFS($D$32:$D$51,$C$32:$C$51,B76,$I$32:$I$51,"Ready"))</x:f>
        <x:v>0</x:v>
      </x:c>
      <x:c r="H76" s="37" t="n">
        <x:f>IF(OR(B76="",$I$6&lt;&gt;"Complete"),"",SUMIFS($E$32:$E$51,$C$32:$C$51,B76,$I$32:$I$51,"Ready"))</x:f>
        <x:v>0</x:v>
      </x:c>
      <x:c r="I76" s="37" t="n">
        <x:f>IF(OR(B76="",$I$6&lt;&gt;"Complete"),"",I75+E76+G76-H76)</x:f>
        <x:v>94000</x:v>
      </x:c>
      <x:c r="J76" s="37" t="n">
        <x:f>IF(OR(B76="",$I$6&lt;&gt;"Complete"),"",'Inputs'!$C$49)</x:f>
        <x:v>25000</x:v>
      </x:c>
      <x:c r="K76" s="37" t="n">
        <x:f>IF(OR(B76="",$I$6&lt;&gt;"Complete"),"",I76-J76)</x:f>
        <x:v>69000</x:v>
      </x:c>
      <x:c r="L76" s="61" t="n">
        <x:f>IF(OR(B76="",$I$6&lt;&gt;"Complete"),"",IF(K76&lt;0,1,0))</x:f>
        <x:v>0</x:v>
      </x:c>
    </x:row>
    <x:row r="77" ht="23" customHeight="1">
      <x:c r="A77" s="2"/>
      <x:c r="B77" s="60" t="n">
        <x:f>IF($D$6&lt;&gt;"Complete","",IF('Inputs'!$C$47+7&lt;=$D$9,'Inputs'!$C$47+7,""))</x:f>
        <x:v>46293</x:v>
      </x:c>
      <x:c r="C77" s="37" t="n">
        <x:f>IF(B77="","",SUMIFS($D$14:$D$23,$C$14:$C$23,B77))</x:f>
        <x:v>0</x:v>
      </x:c>
      <x:c r="D77" s="37" t="n">
        <x:f>IF(B77="","",SUMIFS($E$14:$E$23,$C$14:$C$23,B77))</x:f>
        <x:v>0</x:v>
      </x:c>
      <x:c r="E77" s="37" t="n">
        <x:f>IF(B77="","",C77-D77)</x:f>
        <x:v>0</x:v>
      </x:c>
      <x:c r="F77" s="37" t="n">
        <x:f>IF(B77="","",F76+E77)</x:f>
        <x:v>-6000</x:v>
      </x:c>
      <x:c r="G77" s="37" t="n">
        <x:f>IF(OR(B77="",$I$6&lt;&gt;"Complete"),"",SUMIFS($D$32:$D$51,$C$32:$C$51,B77,$I$32:$I$51,"Ready"))</x:f>
        <x:v>0</x:v>
      </x:c>
      <x:c r="H77" s="37" t="n">
        <x:f>IF(OR(B77="",$I$6&lt;&gt;"Complete"),"",SUMIFS($E$32:$E$51,$C$32:$C$51,B77,$I$32:$I$51,"Ready"))</x:f>
        <x:v>0</x:v>
      </x:c>
      <x:c r="I77" s="37" t="n">
        <x:f>IF(OR(B77="",$I$6&lt;&gt;"Complete"),"",I76+E77+G77-H77)</x:f>
        <x:v>94000</x:v>
      </x:c>
      <x:c r="J77" s="37" t="n">
        <x:f>IF(OR(B77="",$I$6&lt;&gt;"Complete"),"",'Inputs'!$C$49)</x:f>
        <x:v>25000</x:v>
      </x:c>
      <x:c r="K77" s="37" t="n">
        <x:f>IF(OR(B77="",$I$6&lt;&gt;"Complete"),"",I77-J77)</x:f>
        <x:v>69000</x:v>
      </x:c>
      <x:c r="L77" s="61" t="n">
        <x:f>IF(OR(B77="",$I$6&lt;&gt;"Complete"),"",IF(K77&lt;0,1,0))</x:f>
        <x:v>0</x:v>
      </x:c>
    </x:row>
    <x:row r="78" ht="23" customHeight="1">
      <x:c r="A78" s="2"/>
      <x:c r="B78" s="60" t="n">
        <x:f>IF($D$6&lt;&gt;"Complete","",IF('Inputs'!$C$47+8&lt;=$D$9,'Inputs'!$C$47+8,""))</x:f>
        <x:v>46294</x:v>
      </x:c>
      <x:c r="C78" s="37" t="n">
        <x:f>IF(B78="","",SUMIFS($D$14:$D$23,$C$14:$C$23,B78))</x:f>
        <x:v>0</x:v>
      </x:c>
      <x:c r="D78" s="37" t="n">
        <x:f>IF(B78="","",SUMIFS($E$14:$E$23,$C$14:$C$23,B78))</x:f>
        <x:v>0</x:v>
      </x:c>
      <x:c r="E78" s="37" t="n">
        <x:f>IF(B78="","",C78-D78)</x:f>
        <x:v>0</x:v>
      </x:c>
      <x:c r="F78" s="37" t="n">
        <x:f>IF(B78="","",F77+E78)</x:f>
        <x:v>-6000</x:v>
      </x:c>
      <x:c r="G78" s="37" t="n">
        <x:f>IF(OR(B78="",$I$6&lt;&gt;"Complete"),"",SUMIFS($D$32:$D$51,$C$32:$C$51,B78,$I$32:$I$51,"Ready"))</x:f>
        <x:v>0</x:v>
      </x:c>
      <x:c r="H78" s="37" t="n">
        <x:f>IF(OR(B78="",$I$6&lt;&gt;"Complete"),"",SUMIFS($E$32:$E$51,$C$32:$C$51,B78,$I$32:$I$51,"Ready"))</x:f>
        <x:v>0</x:v>
      </x:c>
      <x:c r="I78" s="37" t="n">
        <x:f>IF(OR(B78="",$I$6&lt;&gt;"Complete"),"",I77+E78+G78-H78)</x:f>
        <x:v>94000</x:v>
      </x:c>
      <x:c r="J78" s="37" t="n">
        <x:f>IF(OR(B78="",$I$6&lt;&gt;"Complete"),"",'Inputs'!$C$49)</x:f>
        <x:v>25000</x:v>
      </x:c>
      <x:c r="K78" s="37" t="n">
        <x:f>IF(OR(B78="",$I$6&lt;&gt;"Complete"),"",I78-J78)</x:f>
        <x:v>69000</x:v>
      </x:c>
      <x:c r="L78" s="61" t="n">
        <x:f>IF(OR(B78="",$I$6&lt;&gt;"Complete"),"",IF(K78&lt;0,1,0))</x:f>
        <x:v>0</x:v>
      </x:c>
    </x:row>
    <x:row r="79" ht="23" customHeight="1">
      <x:c r="A79" s="2"/>
      <x:c r="B79" s="60" t="n">
        <x:f>IF($D$6&lt;&gt;"Complete","",IF('Inputs'!$C$47+9&lt;=$D$9,'Inputs'!$C$47+9,""))</x:f>
        <x:v>46295</x:v>
      </x:c>
      <x:c r="C79" s="37" t="n">
        <x:f>IF(B79="","",SUMIFS($D$14:$D$23,$C$14:$C$23,B79))</x:f>
        <x:v>0</x:v>
      </x:c>
      <x:c r="D79" s="37" t="n">
        <x:f>IF(B79="","",SUMIFS($E$14:$E$23,$C$14:$C$23,B79))</x:f>
        <x:v>0</x:v>
      </x:c>
      <x:c r="E79" s="37" t="n">
        <x:f>IF(B79="","",C79-D79)</x:f>
        <x:v>0</x:v>
      </x:c>
      <x:c r="F79" s="37" t="n">
        <x:f>IF(B79="","",F78+E79)</x:f>
        <x:v>-6000</x:v>
      </x:c>
      <x:c r="G79" s="37" t="n">
        <x:f>IF(OR(B79="",$I$6&lt;&gt;"Complete"),"",SUMIFS($D$32:$D$51,$C$32:$C$51,B79,$I$32:$I$51,"Ready"))</x:f>
        <x:v>0</x:v>
      </x:c>
      <x:c r="H79" s="37" t="n">
        <x:f>IF(OR(B79="",$I$6&lt;&gt;"Complete"),"",SUMIFS($E$32:$E$51,$C$32:$C$51,B79,$I$32:$I$51,"Ready"))</x:f>
        <x:v>0</x:v>
      </x:c>
      <x:c r="I79" s="37" t="n">
        <x:f>IF(OR(B79="",$I$6&lt;&gt;"Complete"),"",I78+E79+G79-H79)</x:f>
        <x:v>94000</x:v>
      </x:c>
      <x:c r="J79" s="37" t="n">
        <x:f>IF(OR(B79="",$I$6&lt;&gt;"Complete"),"",'Inputs'!$C$49)</x:f>
        <x:v>25000</x:v>
      </x:c>
      <x:c r="K79" s="37" t="n">
        <x:f>IF(OR(B79="",$I$6&lt;&gt;"Complete"),"",I79-J79)</x:f>
        <x:v>69000</x:v>
      </x:c>
      <x:c r="L79" s="61" t="n">
        <x:f>IF(OR(B79="",$I$6&lt;&gt;"Complete"),"",IF(K79&lt;0,1,0))</x:f>
        <x:v>0</x:v>
      </x:c>
    </x:row>
    <x:row r="80" ht="23" customHeight="1">
      <x:c r="A80" s="2"/>
      <x:c r="B80" s="60" t="n">
        <x:f>IF($D$6&lt;&gt;"Complete","",IF('Inputs'!$C$47+10&lt;=$D$9,'Inputs'!$C$47+10,""))</x:f>
        <x:v>46296</x:v>
      </x:c>
      <x:c r="C80" s="37" t="n">
        <x:f>IF(B80="","",SUMIFS($D$14:$D$23,$C$14:$C$23,B80))</x:f>
        <x:v>0</x:v>
      </x:c>
      <x:c r="D80" s="37" t="n">
        <x:f>IF(B80="","",SUMIFS($E$14:$E$23,$C$14:$C$23,B80))</x:f>
        <x:v>0</x:v>
      </x:c>
      <x:c r="E80" s="37" t="n">
        <x:f>IF(B80="","",C80-D80)</x:f>
        <x:v>0</x:v>
      </x:c>
      <x:c r="F80" s="37" t="n">
        <x:f>IF(B80="","",F79+E80)</x:f>
        <x:v>-6000</x:v>
      </x:c>
      <x:c r="G80" s="37" t="n">
        <x:f>IF(OR(B80="",$I$6&lt;&gt;"Complete"),"",SUMIFS($D$32:$D$51,$C$32:$C$51,B80,$I$32:$I$51,"Ready"))</x:f>
        <x:v>0</x:v>
      </x:c>
      <x:c r="H80" s="37" t="n">
        <x:f>IF(OR(B80="",$I$6&lt;&gt;"Complete"),"",SUMIFS($E$32:$E$51,$C$32:$C$51,B80,$I$32:$I$51,"Ready"))</x:f>
        <x:v>0</x:v>
      </x:c>
      <x:c r="I80" s="37" t="n">
        <x:f>IF(OR(B80="",$I$6&lt;&gt;"Complete"),"",I79+E80+G80-H80)</x:f>
        <x:v>94000</x:v>
      </x:c>
      <x:c r="J80" s="37" t="n">
        <x:f>IF(OR(B80="",$I$6&lt;&gt;"Complete"),"",'Inputs'!$C$49)</x:f>
        <x:v>25000</x:v>
      </x:c>
      <x:c r="K80" s="37" t="n">
        <x:f>IF(OR(B80="",$I$6&lt;&gt;"Complete"),"",I80-J80)</x:f>
        <x:v>69000</x:v>
      </x:c>
      <x:c r="L80" s="61" t="n">
        <x:f>IF(OR(B80="",$I$6&lt;&gt;"Complete"),"",IF(K80&lt;0,1,0))</x:f>
        <x:v>0</x:v>
      </x:c>
    </x:row>
    <x:row r="81" ht="23" customHeight="1">
      <x:c r="A81" s="2"/>
      <x:c r="B81" s="60" t="n">
        <x:f>IF($D$6&lt;&gt;"Complete","",IF('Inputs'!$C$47+11&lt;=$D$9,'Inputs'!$C$47+11,""))</x:f>
        <x:v>46297</x:v>
      </x:c>
      <x:c r="C81" s="37" t="n">
        <x:f>IF(B81="","",SUMIFS($D$14:$D$23,$C$14:$C$23,B81))</x:f>
        <x:v>0</x:v>
      </x:c>
      <x:c r="D81" s="37" t="n">
        <x:f>IF(B81="","",SUMIFS($E$14:$E$23,$C$14:$C$23,B81))</x:f>
        <x:v>0</x:v>
      </x:c>
      <x:c r="E81" s="37" t="n">
        <x:f>IF(B81="","",C81-D81)</x:f>
        <x:v>0</x:v>
      </x:c>
      <x:c r="F81" s="37" t="n">
        <x:f>IF(B81="","",F80+E81)</x:f>
        <x:v>-6000</x:v>
      </x:c>
      <x:c r="G81" s="37" t="n">
        <x:f>IF(OR(B81="",$I$6&lt;&gt;"Complete"),"",SUMIFS($D$32:$D$51,$C$32:$C$51,B81,$I$32:$I$51,"Ready"))</x:f>
        <x:v>0</x:v>
      </x:c>
      <x:c r="H81" s="37" t="n">
        <x:f>IF(OR(B81="",$I$6&lt;&gt;"Complete"),"",SUMIFS($E$32:$E$51,$C$32:$C$51,B81,$I$32:$I$51,"Ready"))</x:f>
        <x:v>0</x:v>
      </x:c>
      <x:c r="I81" s="37" t="n">
        <x:f>IF(OR(B81="",$I$6&lt;&gt;"Complete"),"",I80+E81+G81-H81)</x:f>
        <x:v>94000</x:v>
      </x:c>
      <x:c r="J81" s="37" t="n">
        <x:f>IF(OR(B81="",$I$6&lt;&gt;"Complete"),"",'Inputs'!$C$49)</x:f>
        <x:v>25000</x:v>
      </x:c>
      <x:c r="K81" s="37" t="n">
        <x:f>IF(OR(B81="",$I$6&lt;&gt;"Complete"),"",I81-J81)</x:f>
        <x:v>69000</x:v>
      </x:c>
      <x:c r="L81" s="61" t="n">
        <x:f>IF(OR(B81="",$I$6&lt;&gt;"Complete"),"",IF(K81&lt;0,1,0))</x:f>
        <x:v>0</x:v>
      </x:c>
    </x:row>
    <x:row r="82" ht="23" customHeight="1">
      <x:c r="A82" s="2"/>
      <x:c r="B82" s="60" t="n">
        <x:f>IF($D$6&lt;&gt;"Complete","",IF('Inputs'!$C$47+12&lt;=$D$9,'Inputs'!$C$47+12,""))</x:f>
        <x:v>46298</x:v>
      </x:c>
      <x:c r="C82" s="37" t="n">
        <x:f>IF(B82="","",SUMIFS($D$14:$D$23,$C$14:$C$23,B82))</x:f>
        <x:v>0</x:v>
      </x:c>
      <x:c r="D82" s="37" t="n">
        <x:f>IF(B82="","",SUMIFS($E$14:$E$23,$C$14:$C$23,B82))</x:f>
        <x:v>0</x:v>
      </x:c>
      <x:c r="E82" s="37" t="n">
        <x:f>IF(B82="","",C82-D82)</x:f>
        <x:v>0</x:v>
      </x:c>
      <x:c r="F82" s="37" t="n">
        <x:f>IF(B82="","",F81+E82)</x:f>
        <x:v>-6000</x:v>
      </x:c>
      <x:c r="G82" s="37" t="n">
        <x:f>IF(OR(B82="",$I$6&lt;&gt;"Complete"),"",SUMIFS($D$32:$D$51,$C$32:$C$51,B82,$I$32:$I$51,"Ready"))</x:f>
        <x:v>0</x:v>
      </x:c>
      <x:c r="H82" s="37" t="n">
        <x:f>IF(OR(B82="",$I$6&lt;&gt;"Complete"),"",SUMIFS($E$32:$E$51,$C$32:$C$51,B82,$I$32:$I$51,"Ready"))</x:f>
        <x:v>0</x:v>
      </x:c>
      <x:c r="I82" s="37" t="n">
        <x:f>IF(OR(B82="",$I$6&lt;&gt;"Complete"),"",I81+E82+G82-H82)</x:f>
        <x:v>94000</x:v>
      </x:c>
      <x:c r="J82" s="37" t="n">
        <x:f>IF(OR(B82="",$I$6&lt;&gt;"Complete"),"",'Inputs'!$C$49)</x:f>
        <x:v>25000</x:v>
      </x:c>
      <x:c r="K82" s="37" t="n">
        <x:f>IF(OR(B82="",$I$6&lt;&gt;"Complete"),"",I82-J82)</x:f>
        <x:v>69000</x:v>
      </x:c>
      <x:c r="L82" s="61" t="n">
        <x:f>IF(OR(B82="",$I$6&lt;&gt;"Complete"),"",IF(K82&lt;0,1,0))</x:f>
        <x:v>0</x:v>
      </x:c>
    </x:row>
    <x:row r="83" ht="23" customHeight="1">
      <x:c r="A83" s="2"/>
      <x:c r="B83" s="60" t="n">
        <x:f>IF($D$6&lt;&gt;"Complete","",IF('Inputs'!$C$47+13&lt;=$D$9,'Inputs'!$C$47+13,""))</x:f>
        <x:v>46299</x:v>
      </x:c>
      <x:c r="C83" s="37" t="n">
        <x:f>IF(B83="","",SUMIFS($D$14:$D$23,$C$14:$C$23,B83))</x:f>
        <x:v>0</x:v>
      </x:c>
      <x:c r="D83" s="37" t="n">
        <x:f>IF(B83="","",SUMIFS($E$14:$E$23,$C$14:$C$23,B83))</x:f>
        <x:v>0</x:v>
      </x:c>
      <x:c r="E83" s="37" t="n">
        <x:f>IF(B83="","",C83-D83)</x:f>
        <x:v>0</x:v>
      </x:c>
      <x:c r="F83" s="37" t="n">
        <x:f>IF(B83="","",F82+E83)</x:f>
        <x:v>-6000</x:v>
      </x:c>
      <x:c r="G83" s="37" t="n">
        <x:f>IF(OR(B83="",$I$6&lt;&gt;"Complete"),"",SUMIFS($D$32:$D$51,$C$32:$C$51,B83,$I$32:$I$51,"Ready"))</x:f>
        <x:v>0</x:v>
      </x:c>
      <x:c r="H83" s="37" t="n">
        <x:f>IF(OR(B83="",$I$6&lt;&gt;"Complete"),"",SUMIFS($E$32:$E$51,$C$32:$C$51,B83,$I$32:$I$51,"Ready"))</x:f>
        <x:v>0</x:v>
      </x:c>
      <x:c r="I83" s="37" t="n">
        <x:f>IF(OR(B83="",$I$6&lt;&gt;"Complete"),"",I82+E83+G83-H83)</x:f>
        <x:v>94000</x:v>
      </x:c>
      <x:c r="J83" s="37" t="n">
        <x:f>IF(OR(B83="",$I$6&lt;&gt;"Complete"),"",'Inputs'!$C$49)</x:f>
        <x:v>25000</x:v>
      </x:c>
      <x:c r="K83" s="37" t="n">
        <x:f>IF(OR(B83="",$I$6&lt;&gt;"Complete"),"",I83-J83)</x:f>
        <x:v>69000</x:v>
      </x:c>
      <x:c r="L83" s="61" t="n">
        <x:f>IF(OR(B83="",$I$6&lt;&gt;"Complete"),"",IF(K83&lt;0,1,0))</x:f>
        <x:v>0</x:v>
      </x:c>
    </x:row>
    <x:row r="84" ht="23" customHeight="1">
      <x:c r="A84" s="2"/>
      <x:c r="B84" s="60" t="n">
        <x:f>IF($D$6&lt;&gt;"Complete","",IF('Inputs'!$C$47+14&lt;=$D$9,'Inputs'!$C$47+14,""))</x:f>
        <x:v>46300</x:v>
      </x:c>
      <x:c r="C84" s="37" t="n">
        <x:f>IF(B84="","",SUMIFS($D$14:$D$23,$C$14:$C$23,B84))</x:f>
        <x:v>0</x:v>
      </x:c>
      <x:c r="D84" s="37" t="n">
        <x:f>IF(B84="","",SUMIFS($E$14:$E$23,$C$14:$C$23,B84))</x:f>
        <x:v>0</x:v>
      </x:c>
      <x:c r="E84" s="37" t="n">
        <x:f>IF(B84="","",C84-D84)</x:f>
        <x:v>0</x:v>
      </x:c>
      <x:c r="F84" s="37" t="n">
        <x:f>IF(B84="","",F83+E84)</x:f>
        <x:v>-6000</x:v>
      </x:c>
      <x:c r="G84" s="37" t="n">
        <x:f>IF(OR(B84="",$I$6&lt;&gt;"Complete"),"",SUMIFS($D$32:$D$51,$C$32:$C$51,B84,$I$32:$I$51,"Ready"))</x:f>
        <x:v>0</x:v>
      </x:c>
      <x:c r="H84" s="37" t="n">
        <x:f>IF(OR(B84="",$I$6&lt;&gt;"Complete"),"",SUMIFS($E$32:$E$51,$C$32:$C$51,B84,$I$32:$I$51,"Ready"))</x:f>
        <x:v>0</x:v>
      </x:c>
      <x:c r="I84" s="37" t="n">
        <x:f>IF(OR(B84="",$I$6&lt;&gt;"Complete"),"",I83+E84+G84-H84)</x:f>
        <x:v>94000</x:v>
      </x:c>
      <x:c r="J84" s="37" t="n">
        <x:f>IF(OR(B84="",$I$6&lt;&gt;"Complete"),"",'Inputs'!$C$49)</x:f>
        <x:v>25000</x:v>
      </x:c>
      <x:c r="K84" s="37" t="n">
        <x:f>IF(OR(B84="",$I$6&lt;&gt;"Complete"),"",I84-J84)</x:f>
        <x:v>69000</x:v>
      </x:c>
      <x:c r="L84" s="61" t="n">
        <x:f>IF(OR(B84="",$I$6&lt;&gt;"Complete"),"",IF(K84&lt;0,1,0))</x:f>
        <x:v>0</x:v>
      </x:c>
    </x:row>
    <x:row r="85" ht="23" customHeight="1">
      <x:c r="A85" s="2"/>
      <x:c r="B85" s="60" t="n">
        <x:f>IF($D$6&lt;&gt;"Complete","",IF('Inputs'!$C$47+15&lt;=$D$9,'Inputs'!$C$47+15,""))</x:f>
        <x:v>46301</x:v>
      </x:c>
      <x:c r="C85" s="37" t="n">
        <x:f>IF(B85="","",SUMIFS($D$14:$D$23,$C$14:$C$23,B85))</x:f>
        <x:v>0</x:v>
      </x:c>
      <x:c r="D85" s="37" t="n">
        <x:f>IF(B85="","",SUMIFS($E$14:$E$23,$C$14:$C$23,B85))</x:f>
        <x:v>0</x:v>
      </x:c>
      <x:c r="E85" s="37" t="n">
        <x:f>IF(B85="","",C85-D85)</x:f>
        <x:v>0</x:v>
      </x:c>
      <x:c r="F85" s="37" t="n">
        <x:f>IF(B85="","",F84+E85)</x:f>
        <x:v>-6000</x:v>
      </x:c>
      <x:c r="G85" s="37" t="n">
        <x:f>IF(OR(B85="",$I$6&lt;&gt;"Complete"),"",SUMIFS($D$32:$D$51,$C$32:$C$51,B85,$I$32:$I$51,"Ready"))</x:f>
        <x:v>0</x:v>
      </x:c>
      <x:c r="H85" s="37" t="n">
        <x:f>IF(OR(B85="",$I$6&lt;&gt;"Complete"),"",SUMIFS($E$32:$E$51,$C$32:$C$51,B85,$I$32:$I$51,"Ready"))</x:f>
        <x:v>0</x:v>
      </x:c>
      <x:c r="I85" s="37" t="n">
        <x:f>IF(OR(B85="",$I$6&lt;&gt;"Complete"),"",I84+E85+G85-H85)</x:f>
        <x:v>94000</x:v>
      </x:c>
      <x:c r="J85" s="37" t="n">
        <x:f>IF(OR(B85="",$I$6&lt;&gt;"Complete"),"",'Inputs'!$C$49)</x:f>
        <x:v>25000</x:v>
      </x:c>
      <x:c r="K85" s="37" t="n">
        <x:f>IF(OR(B85="",$I$6&lt;&gt;"Complete"),"",I85-J85)</x:f>
        <x:v>69000</x:v>
      </x:c>
      <x:c r="L85" s="61" t="n">
        <x:f>IF(OR(B85="",$I$6&lt;&gt;"Complete"),"",IF(K85&lt;0,1,0))</x:f>
        <x:v>0</x:v>
      </x:c>
    </x:row>
    <x:row r="86" ht="23" customHeight="1">
      <x:c r="A86" s="2"/>
      <x:c r="B86" s="60" t="n">
        <x:f>IF($D$6&lt;&gt;"Complete","",IF('Inputs'!$C$47+16&lt;=$D$9,'Inputs'!$C$47+16,""))</x:f>
        <x:v>46302</x:v>
      </x:c>
      <x:c r="C86" s="37" t="n">
        <x:f>IF(B86="","",SUMIFS($D$14:$D$23,$C$14:$C$23,B86))</x:f>
        <x:v>0</x:v>
      </x:c>
      <x:c r="D86" s="37" t="n">
        <x:f>IF(B86="","",SUMIFS($E$14:$E$23,$C$14:$C$23,B86))</x:f>
        <x:v>0</x:v>
      </x:c>
      <x:c r="E86" s="37" t="n">
        <x:f>IF(B86="","",C86-D86)</x:f>
        <x:v>0</x:v>
      </x:c>
      <x:c r="F86" s="37" t="n">
        <x:f>IF(B86="","",F85+E86)</x:f>
        <x:v>-6000</x:v>
      </x:c>
      <x:c r="G86" s="37" t="n">
        <x:f>IF(OR(B86="",$I$6&lt;&gt;"Complete"),"",SUMIFS($D$32:$D$51,$C$32:$C$51,B86,$I$32:$I$51,"Ready"))</x:f>
        <x:v>0</x:v>
      </x:c>
      <x:c r="H86" s="37" t="n">
        <x:f>IF(OR(B86="",$I$6&lt;&gt;"Complete"),"",SUMIFS($E$32:$E$51,$C$32:$C$51,B86,$I$32:$I$51,"Ready"))</x:f>
        <x:v>0</x:v>
      </x:c>
      <x:c r="I86" s="37" t="n">
        <x:f>IF(OR(B86="",$I$6&lt;&gt;"Complete"),"",I85+E86+G86-H86)</x:f>
        <x:v>94000</x:v>
      </x:c>
      <x:c r="J86" s="37" t="n">
        <x:f>IF(OR(B86="",$I$6&lt;&gt;"Complete"),"",'Inputs'!$C$49)</x:f>
        <x:v>25000</x:v>
      </x:c>
      <x:c r="K86" s="37" t="n">
        <x:f>IF(OR(B86="",$I$6&lt;&gt;"Complete"),"",I86-J86)</x:f>
        <x:v>69000</x:v>
      </x:c>
      <x:c r="L86" s="61" t="n">
        <x:f>IF(OR(B86="",$I$6&lt;&gt;"Complete"),"",IF(K86&lt;0,1,0))</x:f>
        <x:v>0</x:v>
      </x:c>
    </x:row>
    <x:row r="87" ht="23" customHeight="1">
      <x:c r="A87" s="2"/>
      <x:c r="B87" s="60" t="n">
        <x:f>IF($D$6&lt;&gt;"Complete","",IF('Inputs'!$C$47+17&lt;=$D$9,'Inputs'!$C$47+17,""))</x:f>
        <x:v>46303</x:v>
      </x:c>
      <x:c r="C87" s="37" t="n">
        <x:f>IF(B87="","",SUMIFS($D$14:$D$23,$C$14:$C$23,B87))</x:f>
        <x:v>0</x:v>
      </x:c>
      <x:c r="D87" s="37" t="n">
        <x:f>IF(B87="","",SUMIFS($E$14:$E$23,$C$14:$C$23,B87))</x:f>
        <x:v>0</x:v>
      </x:c>
      <x:c r="E87" s="37" t="n">
        <x:f>IF(B87="","",C87-D87)</x:f>
        <x:v>0</x:v>
      </x:c>
      <x:c r="F87" s="37" t="n">
        <x:f>IF(B87="","",F86+E87)</x:f>
        <x:v>-6000</x:v>
      </x:c>
      <x:c r="G87" s="37" t="n">
        <x:f>IF(OR(B87="",$I$6&lt;&gt;"Complete"),"",SUMIFS($D$32:$D$51,$C$32:$C$51,B87,$I$32:$I$51,"Ready"))</x:f>
        <x:v>0</x:v>
      </x:c>
      <x:c r="H87" s="37" t="n">
        <x:f>IF(OR(B87="",$I$6&lt;&gt;"Complete"),"",SUMIFS($E$32:$E$51,$C$32:$C$51,B87,$I$32:$I$51,"Ready"))</x:f>
        <x:v>0</x:v>
      </x:c>
      <x:c r="I87" s="37" t="n">
        <x:f>IF(OR(B87="",$I$6&lt;&gt;"Complete"),"",I86+E87+G87-H87)</x:f>
        <x:v>94000</x:v>
      </x:c>
      <x:c r="J87" s="37" t="n">
        <x:f>IF(OR(B87="",$I$6&lt;&gt;"Complete"),"",'Inputs'!$C$49)</x:f>
        <x:v>25000</x:v>
      </x:c>
      <x:c r="K87" s="37" t="n">
        <x:f>IF(OR(B87="",$I$6&lt;&gt;"Complete"),"",I87-J87)</x:f>
        <x:v>69000</x:v>
      </x:c>
      <x:c r="L87" s="61" t="n">
        <x:f>IF(OR(B87="",$I$6&lt;&gt;"Complete"),"",IF(K87&lt;0,1,0))</x:f>
        <x:v>0</x:v>
      </x:c>
    </x:row>
    <x:row r="88" ht="23" customHeight="1">
      <x:c r="A88" s="2"/>
      <x:c r="B88" s="60" t="n">
        <x:f>IF($D$6&lt;&gt;"Complete","",IF('Inputs'!$C$47+18&lt;=$D$9,'Inputs'!$C$47+18,""))</x:f>
        <x:v>46304</x:v>
      </x:c>
      <x:c r="C88" s="37" t="n">
        <x:f>IF(B88="","",SUMIFS($D$14:$D$23,$C$14:$C$23,B88))</x:f>
        <x:v>0</x:v>
      </x:c>
      <x:c r="D88" s="37" t="n">
        <x:f>IF(B88="","",SUMIFS($E$14:$E$23,$C$14:$C$23,B88))</x:f>
        <x:v>0</x:v>
      </x:c>
      <x:c r="E88" s="37" t="n">
        <x:f>IF(B88="","",C88-D88)</x:f>
        <x:v>0</x:v>
      </x:c>
      <x:c r="F88" s="37" t="n">
        <x:f>IF(B88="","",F87+E88)</x:f>
        <x:v>-6000</x:v>
      </x:c>
      <x:c r="G88" s="37" t="n">
        <x:f>IF(OR(B88="",$I$6&lt;&gt;"Complete"),"",SUMIFS($D$32:$D$51,$C$32:$C$51,B88,$I$32:$I$51,"Ready"))</x:f>
        <x:v>0</x:v>
      </x:c>
      <x:c r="H88" s="37" t="n">
        <x:f>IF(OR(B88="",$I$6&lt;&gt;"Complete"),"",SUMIFS($E$32:$E$51,$C$32:$C$51,B88,$I$32:$I$51,"Ready"))</x:f>
        <x:v>0</x:v>
      </x:c>
      <x:c r="I88" s="37" t="n">
        <x:f>IF(OR(B88="",$I$6&lt;&gt;"Complete"),"",I87+E88+G88-H88)</x:f>
        <x:v>94000</x:v>
      </x:c>
      <x:c r="J88" s="37" t="n">
        <x:f>IF(OR(B88="",$I$6&lt;&gt;"Complete"),"",'Inputs'!$C$49)</x:f>
        <x:v>25000</x:v>
      </x:c>
      <x:c r="K88" s="37" t="n">
        <x:f>IF(OR(B88="",$I$6&lt;&gt;"Complete"),"",I88-J88)</x:f>
        <x:v>69000</x:v>
      </x:c>
      <x:c r="L88" s="61" t="n">
        <x:f>IF(OR(B88="",$I$6&lt;&gt;"Complete"),"",IF(K88&lt;0,1,0))</x:f>
        <x:v>0</x:v>
      </x:c>
    </x:row>
    <x:row r="89" ht="23" customHeight="1">
      <x:c r="A89" s="2"/>
      <x:c r="B89" s="60" t="n">
        <x:f>IF($D$6&lt;&gt;"Complete","",IF('Inputs'!$C$47+19&lt;=$D$9,'Inputs'!$C$47+19,""))</x:f>
        <x:v>46305</x:v>
      </x:c>
      <x:c r="C89" s="37" t="n">
        <x:f>IF(B89="","",SUMIFS($D$14:$D$23,$C$14:$C$23,B89))</x:f>
        <x:v>0</x:v>
      </x:c>
      <x:c r="D89" s="37" t="n">
        <x:f>IF(B89="","",SUMIFS($E$14:$E$23,$C$14:$C$23,B89))</x:f>
        <x:v>0</x:v>
      </x:c>
      <x:c r="E89" s="37" t="n">
        <x:f>IF(B89="","",C89-D89)</x:f>
        <x:v>0</x:v>
      </x:c>
      <x:c r="F89" s="37" t="n">
        <x:f>IF(B89="","",F88+E89)</x:f>
        <x:v>-6000</x:v>
      </x:c>
      <x:c r="G89" s="37" t="n">
        <x:f>IF(OR(B89="",$I$6&lt;&gt;"Complete"),"",SUMIFS($D$32:$D$51,$C$32:$C$51,B89,$I$32:$I$51,"Ready"))</x:f>
        <x:v>0</x:v>
      </x:c>
      <x:c r="H89" s="37" t="n">
        <x:f>IF(OR(B89="",$I$6&lt;&gt;"Complete"),"",SUMIFS($E$32:$E$51,$C$32:$C$51,B89,$I$32:$I$51,"Ready"))</x:f>
        <x:v>0</x:v>
      </x:c>
      <x:c r="I89" s="37" t="n">
        <x:f>IF(OR(B89="",$I$6&lt;&gt;"Complete"),"",I88+E89+G89-H89)</x:f>
        <x:v>94000</x:v>
      </x:c>
      <x:c r="J89" s="37" t="n">
        <x:f>IF(OR(B89="",$I$6&lt;&gt;"Complete"),"",'Inputs'!$C$49)</x:f>
        <x:v>25000</x:v>
      </x:c>
      <x:c r="K89" s="37" t="n">
        <x:f>IF(OR(B89="",$I$6&lt;&gt;"Complete"),"",I89-J89)</x:f>
        <x:v>69000</x:v>
      </x:c>
      <x:c r="L89" s="61" t="n">
        <x:f>IF(OR(B89="",$I$6&lt;&gt;"Complete"),"",IF(K89&lt;0,1,0))</x:f>
        <x:v>0</x:v>
      </x:c>
    </x:row>
    <x:row r="90" ht="23" customHeight="1">
      <x:c r="A90" s="2"/>
      <x:c r="B90" s="60" t="n">
        <x:f>IF($D$6&lt;&gt;"Complete","",IF('Inputs'!$C$47+20&lt;=$D$9,'Inputs'!$C$47+20,""))</x:f>
        <x:v>46306</x:v>
      </x:c>
      <x:c r="C90" s="37" t="n">
        <x:f>IF(B90="","",SUMIFS($D$14:$D$23,$C$14:$C$23,B90))</x:f>
        <x:v>0</x:v>
      </x:c>
      <x:c r="D90" s="37" t="n">
        <x:f>IF(B90="","",SUMIFS($E$14:$E$23,$C$14:$C$23,B90))</x:f>
        <x:v>0</x:v>
      </x:c>
      <x:c r="E90" s="37" t="n">
        <x:f>IF(B90="","",C90-D90)</x:f>
        <x:v>0</x:v>
      </x:c>
      <x:c r="F90" s="37" t="n">
        <x:f>IF(B90="","",F89+E90)</x:f>
        <x:v>-6000</x:v>
      </x:c>
      <x:c r="G90" s="37" t="n">
        <x:f>IF(OR(B90="",$I$6&lt;&gt;"Complete"),"",SUMIFS($D$32:$D$51,$C$32:$C$51,B90,$I$32:$I$51,"Ready"))</x:f>
        <x:v>0</x:v>
      </x:c>
      <x:c r="H90" s="37" t="n">
        <x:f>IF(OR(B90="",$I$6&lt;&gt;"Complete"),"",SUMIFS($E$32:$E$51,$C$32:$C$51,B90,$I$32:$I$51,"Ready"))</x:f>
        <x:v>0</x:v>
      </x:c>
      <x:c r="I90" s="37" t="n">
        <x:f>IF(OR(B90="",$I$6&lt;&gt;"Complete"),"",I89+E90+G90-H90)</x:f>
        <x:v>94000</x:v>
      </x:c>
      <x:c r="J90" s="37" t="n">
        <x:f>IF(OR(B90="",$I$6&lt;&gt;"Complete"),"",'Inputs'!$C$49)</x:f>
        <x:v>25000</x:v>
      </x:c>
      <x:c r="K90" s="37" t="n">
        <x:f>IF(OR(B90="",$I$6&lt;&gt;"Complete"),"",I90-J90)</x:f>
        <x:v>69000</x:v>
      </x:c>
      <x:c r="L90" s="61" t="n">
        <x:f>IF(OR(B90="",$I$6&lt;&gt;"Complete"),"",IF(K90&lt;0,1,0))</x:f>
        <x:v>0</x:v>
      </x:c>
    </x:row>
    <x:row r="91" ht="23" customHeight="1">
      <x:c r="A91" s="2"/>
      <x:c r="B91" s="60" t="n">
        <x:f>IF($D$6&lt;&gt;"Complete","",IF('Inputs'!$C$47+21&lt;=$D$9,'Inputs'!$C$47+21,""))</x:f>
        <x:v>46307</x:v>
      </x:c>
      <x:c r="C91" s="37" t="n">
        <x:f>IF(B91="","",SUMIFS($D$14:$D$23,$C$14:$C$23,B91))</x:f>
        <x:v>0</x:v>
      </x:c>
      <x:c r="D91" s="37" t="n">
        <x:f>IF(B91="","",SUMIFS($E$14:$E$23,$C$14:$C$23,B91))</x:f>
        <x:v>0</x:v>
      </x:c>
      <x:c r="E91" s="37" t="n">
        <x:f>IF(B91="","",C91-D91)</x:f>
        <x:v>0</x:v>
      </x:c>
      <x:c r="F91" s="37" t="n">
        <x:f>IF(B91="","",F90+E91)</x:f>
        <x:v>-6000</x:v>
      </x:c>
      <x:c r="G91" s="37" t="n">
        <x:f>IF(OR(B91="",$I$6&lt;&gt;"Complete"),"",SUMIFS($D$32:$D$51,$C$32:$C$51,B91,$I$32:$I$51,"Ready"))</x:f>
        <x:v>0</x:v>
      </x:c>
      <x:c r="H91" s="37" t="n">
        <x:f>IF(OR(B91="",$I$6&lt;&gt;"Complete"),"",SUMIFS($E$32:$E$51,$C$32:$C$51,B91,$I$32:$I$51,"Ready"))</x:f>
        <x:v>0</x:v>
      </x:c>
      <x:c r="I91" s="37" t="n">
        <x:f>IF(OR(B91="",$I$6&lt;&gt;"Complete"),"",I90+E91+G91-H91)</x:f>
        <x:v>94000</x:v>
      </x:c>
      <x:c r="J91" s="37" t="n">
        <x:f>IF(OR(B91="",$I$6&lt;&gt;"Complete"),"",'Inputs'!$C$49)</x:f>
        <x:v>25000</x:v>
      </x:c>
      <x:c r="K91" s="37" t="n">
        <x:f>IF(OR(B91="",$I$6&lt;&gt;"Complete"),"",I91-J91)</x:f>
        <x:v>69000</x:v>
      </x:c>
      <x:c r="L91" s="61" t="n">
        <x:f>IF(OR(B91="",$I$6&lt;&gt;"Complete"),"",IF(K91&lt;0,1,0))</x:f>
        <x:v>0</x:v>
      </x:c>
    </x:row>
    <x:row r="92" ht="23" customHeight="1">
      <x:c r="A92" s="2"/>
      <x:c r="B92" s="60" t="n">
        <x:f>IF($D$6&lt;&gt;"Complete","",IF('Inputs'!$C$47+22&lt;=$D$9,'Inputs'!$C$47+22,""))</x:f>
        <x:v>46308</x:v>
      </x:c>
      <x:c r="C92" s="37" t="n">
        <x:f>IF(B92="","",SUMIFS($D$14:$D$23,$C$14:$C$23,B92))</x:f>
        <x:v>0</x:v>
      </x:c>
      <x:c r="D92" s="37" t="n">
        <x:f>IF(B92="","",SUMIFS($E$14:$E$23,$C$14:$C$23,B92))</x:f>
        <x:v>0</x:v>
      </x:c>
      <x:c r="E92" s="37" t="n">
        <x:f>IF(B92="","",C92-D92)</x:f>
        <x:v>0</x:v>
      </x:c>
      <x:c r="F92" s="37" t="n">
        <x:f>IF(B92="","",F91+E92)</x:f>
        <x:v>-6000</x:v>
      </x:c>
      <x:c r="G92" s="37" t="n">
        <x:f>IF(OR(B92="",$I$6&lt;&gt;"Complete"),"",SUMIFS($D$32:$D$51,$C$32:$C$51,B92,$I$32:$I$51,"Ready"))</x:f>
        <x:v>0</x:v>
      </x:c>
      <x:c r="H92" s="37" t="n">
        <x:f>IF(OR(B92="",$I$6&lt;&gt;"Complete"),"",SUMIFS($E$32:$E$51,$C$32:$C$51,B92,$I$32:$I$51,"Ready"))</x:f>
        <x:v>0</x:v>
      </x:c>
      <x:c r="I92" s="37" t="n">
        <x:f>IF(OR(B92="",$I$6&lt;&gt;"Complete"),"",I91+E92+G92-H92)</x:f>
        <x:v>94000</x:v>
      </x:c>
      <x:c r="J92" s="37" t="n">
        <x:f>IF(OR(B92="",$I$6&lt;&gt;"Complete"),"",'Inputs'!$C$49)</x:f>
        <x:v>25000</x:v>
      </x:c>
      <x:c r="K92" s="37" t="n">
        <x:f>IF(OR(B92="",$I$6&lt;&gt;"Complete"),"",I92-J92)</x:f>
        <x:v>69000</x:v>
      </x:c>
      <x:c r="L92" s="61" t="n">
        <x:f>IF(OR(B92="",$I$6&lt;&gt;"Complete"),"",IF(K92&lt;0,1,0))</x:f>
        <x:v>0</x:v>
      </x:c>
    </x:row>
    <x:row r="93" ht="23" customHeight="1">
      <x:c r="A93" s="2"/>
      <x:c r="B93" s="60" t="n">
        <x:f>IF($D$6&lt;&gt;"Complete","",IF('Inputs'!$C$47+23&lt;=$D$9,'Inputs'!$C$47+23,""))</x:f>
        <x:v>46309</x:v>
      </x:c>
      <x:c r="C93" s="37" t="n">
        <x:f>IF(B93="","",SUMIFS($D$14:$D$23,$C$14:$C$23,B93))</x:f>
        <x:v>0</x:v>
      </x:c>
      <x:c r="D93" s="37" t="n">
        <x:f>IF(B93="","",SUMIFS($E$14:$E$23,$C$14:$C$23,B93))</x:f>
        <x:v>0</x:v>
      </x:c>
      <x:c r="E93" s="37" t="n">
        <x:f>IF(B93="","",C93-D93)</x:f>
        <x:v>0</x:v>
      </x:c>
      <x:c r="F93" s="37" t="n">
        <x:f>IF(B93="","",F92+E93)</x:f>
        <x:v>-6000</x:v>
      </x:c>
      <x:c r="G93" s="37" t="n">
        <x:f>IF(OR(B93="",$I$6&lt;&gt;"Complete"),"",SUMIFS($D$32:$D$51,$C$32:$C$51,B93,$I$32:$I$51,"Ready"))</x:f>
        <x:v>0</x:v>
      </x:c>
      <x:c r="H93" s="37" t="n">
        <x:f>IF(OR(B93="",$I$6&lt;&gt;"Complete"),"",SUMIFS($E$32:$E$51,$C$32:$C$51,B93,$I$32:$I$51,"Ready"))</x:f>
        <x:v>0</x:v>
      </x:c>
      <x:c r="I93" s="37" t="n">
        <x:f>IF(OR(B93="",$I$6&lt;&gt;"Complete"),"",I92+E93+G93-H93)</x:f>
        <x:v>94000</x:v>
      </x:c>
      <x:c r="J93" s="37" t="n">
        <x:f>IF(OR(B93="",$I$6&lt;&gt;"Complete"),"",'Inputs'!$C$49)</x:f>
        <x:v>25000</x:v>
      </x:c>
      <x:c r="K93" s="37" t="n">
        <x:f>IF(OR(B93="",$I$6&lt;&gt;"Complete"),"",I93-J93)</x:f>
        <x:v>69000</x:v>
      </x:c>
      <x:c r="L93" s="61" t="n">
        <x:f>IF(OR(B93="",$I$6&lt;&gt;"Complete"),"",IF(K93&lt;0,1,0))</x:f>
        <x:v>0</x:v>
      </x:c>
    </x:row>
    <x:row r="94" ht="23" customHeight="1">
      <x:c r="A94" s="2"/>
      <x:c r="B94" s="60" t="n">
        <x:f>IF($D$6&lt;&gt;"Complete","",IF('Inputs'!$C$47+24&lt;=$D$9,'Inputs'!$C$47+24,""))</x:f>
        <x:v>46310</x:v>
      </x:c>
      <x:c r="C94" s="37" t="n">
        <x:f>IF(B94="","",SUMIFS($D$14:$D$23,$C$14:$C$23,B94))</x:f>
        <x:v>0</x:v>
      </x:c>
      <x:c r="D94" s="37" t="n">
        <x:f>IF(B94="","",SUMIFS($E$14:$E$23,$C$14:$C$23,B94))</x:f>
        <x:v>0</x:v>
      </x:c>
      <x:c r="E94" s="37" t="n">
        <x:f>IF(B94="","",C94-D94)</x:f>
        <x:v>0</x:v>
      </x:c>
      <x:c r="F94" s="37" t="n">
        <x:f>IF(B94="","",F93+E94)</x:f>
        <x:v>-6000</x:v>
      </x:c>
      <x:c r="G94" s="37" t="n">
        <x:f>IF(OR(B94="",$I$6&lt;&gt;"Complete"),"",SUMIFS($D$32:$D$51,$C$32:$C$51,B94,$I$32:$I$51,"Ready"))</x:f>
        <x:v>0</x:v>
      </x:c>
      <x:c r="H94" s="37" t="n">
        <x:f>IF(OR(B94="",$I$6&lt;&gt;"Complete"),"",SUMIFS($E$32:$E$51,$C$32:$C$51,B94,$I$32:$I$51,"Ready"))</x:f>
        <x:v>0</x:v>
      </x:c>
      <x:c r="I94" s="37" t="n">
        <x:f>IF(OR(B94="",$I$6&lt;&gt;"Complete"),"",I93+E94+G94-H94)</x:f>
        <x:v>94000</x:v>
      </x:c>
      <x:c r="J94" s="37" t="n">
        <x:f>IF(OR(B94="",$I$6&lt;&gt;"Complete"),"",'Inputs'!$C$49)</x:f>
        <x:v>25000</x:v>
      </x:c>
      <x:c r="K94" s="37" t="n">
        <x:f>IF(OR(B94="",$I$6&lt;&gt;"Complete"),"",I94-J94)</x:f>
        <x:v>69000</x:v>
      </x:c>
      <x:c r="L94" s="61" t="n">
        <x:f>IF(OR(B94="",$I$6&lt;&gt;"Complete"),"",IF(K94&lt;0,1,0))</x:f>
        <x:v>0</x:v>
      </x:c>
    </x:row>
    <x:row r="95" ht="23" customHeight="1">
      <x:c r="A95" s="2"/>
      <x:c r="B95" s="60" t="n">
        <x:f>IF($D$6&lt;&gt;"Complete","",IF('Inputs'!$C$47+25&lt;=$D$9,'Inputs'!$C$47+25,""))</x:f>
        <x:v>46311</x:v>
      </x:c>
      <x:c r="C95" s="37" t="n">
        <x:f>IF(B95="","",SUMIFS($D$14:$D$23,$C$14:$C$23,B95))</x:f>
        <x:v>0</x:v>
      </x:c>
      <x:c r="D95" s="37" t="n">
        <x:f>IF(B95="","",SUMIFS($E$14:$E$23,$C$14:$C$23,B95))</x:f>
        <x:v>0</x:v>
      </x:c>
      <x:c r="E95" s="37" t="n">
        <x:f>IF(B95="","",C95-D95)</x:f>
        <x:v>0</x:v>
      </x:c>
      <x:c r="F95" s="37" t="n">
        <x:f>IF(B95="","",F94+E95)</x:f>
        <x:v>-6000</x:v>
      </x:c>
      <x:c r="G95" s="37" t="n">
        <x:f>IF(OR(B95="",$I$6&lt;&gt;"Complete"),"",SUMIFS($D$32:$D$51,$C$32:$C$51,B95,$I$32:$I$51,"Ready"))</x:f>
        <x:v>0</x:v>
      </x:c>
      <x:c r="H95" s="37" t="n">
        <x:f>IF(OR(B95="",$I$6&lt;&gt;"Complete"),"",SUMIFS($E$32:$E$51,$C$32:$C$51,B95,$I$32:$I$51,"Ready"))</x:f>
        <x:v>0</x:v>
      </x:c>
      <x:c r="I95" s="37" t="n">
        <x:f>IF(OR(B95="",$I$6&lt;&gt;"Complete"),"",I94+E95+G95-H95)</x:f>
        <x:v>94000</x:v>
      </x:c>
      <x:c r="J95" s="37" t="n">
        <x:f>IF(OR(B95="",$I$6&lt;&gt;"Complete"),"",'Inputs'!$C$49)</x:f>
        <x:v>25000</x:v>
      </x:c>
      <x:c r="K95" s="37" t="n">
        <x:f>IF(OR(B95="",$I$6&lt;&gt;"Complete"),"",I95-J95)</x:f>
        <x:v>69000</x:v>
      </x:c>
      <x:c r="L95" s="61" t="n">
        <x:f>IF(OR(B95="",$I$6&lt;&gt;"Complete"),"",IF(K95&lt;0,1,0))</x:f>
        <x:v>0</x:v>
      </x:c>
    </x:row>
    <x:row r="96" ht="23" customHeight="1">
      <x:c r="A96" s="2"/>
      <x:c r="B96" s="60" t="n">
        <x:f>IF($D$6&lt;&gt;"Complete","",IF('Inputs'!$C$47+26&lt;=$D$9,'Inputs'!$C$47+26,""))</x:f>
        <x:v>46312</x:v>
      </x:c>
      <x:c r="C96" s="37" t="n">
        <x:f>IF(B96="","",SUMIFS($D$14:$D$23,$C$14:$C$23,B96))</x:f>
        <x:v>0</x:v>
      </x:c>
      <x:c r="D96" s="37" t="n">
        <x:f>IF(B96="","",SUMIFS($E$14:$E$23,$C$14:$C$23,B96))</x:f>
        <x:v>0</x:v>
      </x:c>
      <x:c r="E96" s="37" t="n">
        <x:f>IF(B96="","",C96-D96)</x:f>
        <x:v>0</x:v>
      </x:c>
      <x:c r="F96" s="37" t="n">
        <x:f>IF(B96="","",F95+E96)</x:f>
        <x:v>-6000</x:v>
      </x:c>
      <x:c r="G96" s="37" t="n">
        <x:f>IF(OR(B96="",$I$6&lt;&gt;"Complete"),"",SUMIFS($D$32:$D$51,$C$32:$C$51,B96,$I$32:$I$51,"Ready"))</x:f>
        <x:v>0</x:v>
      </x:c>
      <x:c r="H96" s="37" t="n">
        <x:f>IF(OR(B96="",$I$6&lt;&gt;"Complete"),"",SUMIFS($E$32:$E$51,$C$32:$C$51,B96,$I$32:$I$51,"Ready"))</x:f>
        <x:v>0</x:v>
      </x:c>
      <x:c r="I96" s="37" t="n">
        <x:f>IF(OR(B96="",$I$6&lt;&gt;"Complete"),"",I95+E96+G96-H96)</x:f>
        <x:v>94000</x:v>
      </x:c>
      <x:c r="J96" s="37" t="n">
        <x:f>IF(OR(B96="",$I$6&lt;&gt;"Complete"),"",'Inputs'!$C$49)</x:f>
        <x:v>25000</x:v>
      </x:c>
      <x:c r="K96" s="37" t="n">
        <x:f>IF(OR(B96="",$I$6&lt;&gt;"Complete"),"",I96-J96)</x:f>
        <x:v>69000</x:v>
      </x:c>
      <x:c r="L96" s="61" t="n">
        <x:f>IF(OR(B96="",$I$6&lt;&gt;"Complete"),"",IF(K96&lt;0,1,0))</x:f>
        <x:v>0</x:v>
      </x:c>
    </x:row>
    <x:row r="97" ht="23" customHeight="1">
      <x:c r="A97" s="2"/>
      <x:c r="B97" s="60" t="n">
        <x:f>IF($D$6&lt;&gt;"Complete","",IF('Inputs'!$C$47+27&lt;=$D$9,'Inputs'!$C$47+27,""))</x:f>
        <x:v>46313</x:v>
      </x:c>
      <x:c r="C97" s="37" t="n">
        <x:f>IF(B97="","",SUMIFS($D$14:$D$23,$C$14:$C$23,B97))</x:f>
        <x:v>0</x:v>
      </x:c>
      <x:c r="D97" s="37" t="n">
        <x:f>IF(B97="","",SUMIFS($E$14:$E$23,$C$14:$C$23,B97))</x:f>
        <x:v>0</x:v>
      </x:c>
      <x:c r="E97" s="37" t="n">
        <x:f>IF(B97="","",C97-D97)</x:f>
        <x:v>0</x:v>
      </x:c>
      <x:c r="F97" s="37" t="n">
        <x:f>IF(B97="","",F96+E97)</x:f>
        <x:v>-6000</x:v>
      </x:c>
      <x:c r="G97" s="37" t="n">
        <x:f>IF(OR(B97="",$I$6&lt;&gt;"Complete"),"",SUMIFS($D$32:$D$51,$C$32:$C$51,B97,$I$32:$I$51,"Ready"))</x:f>
        <x:v>0</x:v>
      </x:c>
      <x:c r="H97" s="37" t="n">
        <x:f>IF(OR(B97="",$I$6&lt;&gt;"Complete"),"",SUMIFS($E$32:$E$51,$C$32:$C$51,B97,$I$32:$I$51,"Ready"))</x:f>
        <x:v>0</x:v>
      </x:c>
      <x:c r="I97" s="37" t="n">
        <x:f>IF(OR(B97="",$I$6&lt;&gt;"Complete"),"",I96+E97+G97-H97)</x:f>
        <x:v>94000</x:v>
      </x:c>
      <x:c r="J97" s="37" t="n">
        <x:f>IF(OR(B97="",$I$6&lt;&gt;"Complete"),"",'Inputs'!$C$49)</x:f>
        <x:v>25000</x:v>
      </x:c>
      <x:c r="K97" s="37" t="n">
        <x:f>IF(OR(B97="",$I$6&lt;&gt;"Complete"),"",I97-J97)</x:f>
        <x:v>69000</x:v>
      </x:c>
      <x:c r="L97" s="61" t="n">
        <x:f>IF(OR(B97="",$I$6&lt;&gt;"Complete"),"",IF(K97&lt;0,1,0))</x:f>
        <x:v>0</x:v>
      </x:c>
    </x:row>
    <x:row r="98" ht="23" customHeight="1">
      <x:c r="A98" s="2"/>
      <x:c r="B98" s="60" t="n">
        <x:f>IF($D$6&lt;&gt;"Complete","",IF('Inputs'!$C$47+28&lt;=$D$9,'Inputs'!$C$47+28,""))</x:f>
        <x:v>46314</x:v>
      </x:c>
      <x:c r="C98" s="37" t="n">
        <x:f>IF(B98="","",SUMIFS($D$14:$D$23,$C$14:$C$23,B98))</x:f>
        <x:v>0</x:v>
      </x:c>
      <x:c r="D98" s="37" t="n">
        <x:f>IF(B98="","",SUMIFS($E$14:$E$23,$C$14:$C$23,B98))</x:f>
        <x:v>0</x:v>
      </x:c>
      <x:c r="E98" s="37" t="n">
        <x:f>IF(B98="","",C98-D98)</x:f>
        <x:v>0</x:v>
      </x:c>
      <x:c r="F98" s="37" t="n">
        <x:f>IF(B98="","",F97+E98)</x:f>
        <x:v>-6000</x:v>
      </x:c>
      <x:c r="G98" s="37" t="n">
        <x:f>IF(OR(B98="",$I$6&lt;&gt;"Complete"),"",SUMIFS($D$32:$D$51,$C$32:$C$51,B98,$I$32:$I$51,"Ready"))</x:f>
        <x:v>0</x:v>
      </x:c>
      <x:c r="H98" s="37" t="n">
        <x:f>IF(OR(B98="",$I$6&lt;&gt;"Complete"),"",SUMIFS($E$32:$E$51,$C$32:$C$51,B98,$I$32:$I$51,"Ready"))</x:f>
        <x:v>0</x:v>
      </x:c>
      <x:c r="I98" s="37" t="n">
        <x:f>IF(OR(B98="",$I$6&lt;&gt;"Complete"),"",I97+E98+G98-H98)</x:f>
        <x:v>94000</x:v>
      </x:c>
      <x:c r="J98" s="37" t="n">
        <x:f>IF(OR(B98="",$I$6&lt;&gt;"Complete"),"",'Inputs'!$C$49)</x:f>
        <x:v>25000</x:v>
      </x:c>
      <x:c r="K98" s="37" t="n">
        <x:f>IF(OR(B98="",$I$6&lt;&gt;"Complete"),"",I98-J98)</x:f>
        <x:v>69000</x:v>
      </x:c>
      <x:c r="L98" s="61" t="n">
        <x:f>IF(OR(B98="",$I$6&lt;&gt;"Complete"),"",IF(K98&lt;0,1,0))</x:f>
        <x:v>0</x:v>
      </x:c>
    </x:row>
    <x:row r="99" ht="23" customHeight="1">
      <x:c r="A99" s="2"/>
      <x:c r="B99" s="60" t="n">
        <x:f>IF($D$6&lt;&gt;"Complete","",IF('Inputs'!$C$47+29&lt;=$D$9,'Inputs'!$C$47+29,""))</x:f>
        <x:v>46315</x:v>
      </x:c>
      <x:c r="C99" s="37" t="n">
        <x:f>IF(B99="","",SUMIFS($D$14:$D$23,$C$14:$C$23,B99))</x:f>
        <x:v>0</x:v>
      </x:c>
      <x:c r="D99" s="37" t="n">
        <x:f>IF(B99="","",SUMIFS($E$14:$E$23,$C$14:$C$23,B99))</x:f>
        <x:v>0</x:v>
      </x:c>
      <x:c r="E99" s="37" t="n">
        <x:f>IF(B99="","",C99-D99)</x:f>
        <x:v>0</x:v>
      </x:c>
      <x:c r="F99" s="37" t="n">
        <x:f>IF(B99="","",F98+E99)</x:f>
        <x:v>-6000</x:v>
      </x:c>
      <x:c r="G99" s="37" t="n">
        <x:f>IF(OR(B99="",$I$6&lt;&gt;"Complete"),"",SUMIFS($D$32:$D$51,$C$32:$C$51,B99,$I$32:$I$51,"Ready"))</x:f>
        <x:v>0</x:v>
      </x:c>
      <x:c r="H99" s="37" t="n">
        <x:f>IF(OR(B99="",$I$6&lt;&gt;"Complete"),"",SUMIFS($E$32:$E$51,$C$32:$C$51,B99,$I$32:$I$51,"Ready"))</x:f>
        <x:v>0</x:v>
      </x:c>
      <x:c r="I99" s="37" t="n">
        <x:f>IF(OR(B99="",$I$6&lt;&gt;"Complete"),"",I98+E99+G99-H99)</x:f>
        <x:v>94000</x:v>
      </x:c>
      <x:c r="J99" s="37" t="n">
        <x:f>IF(OR(B99="",$I$6&lt;&gt;"Complete"),"",'Inputs'!$C$49)</x:f>
        <x:v>25000</x:v>
      </x:c>
      <x:c r="K99" s="37" t="n">
        <x:f>IF(OR(B99="",$I$6&lt;&gt;"Complete"),"",I99-J99)</x:f>
        <x:v>69000</x:v>
      </x:c>
      <x:c r="L99" s="61" t="n">
        <x:f>IF(OR(B99="",$I$6&lt;&gt;"Complete"),"",IF(K99&lt;0,1,0))</x:f>
        <x:v>0</x:v>
      </x:c>
    </x:row>
    <x:row r="100" ht="23" customHeight="1">
      <x:c r="A100" s="2"/>
      <x:c r="B100" s="60" t="n">
        <x:f>IF($D$6&lt;&gt;"Complete","",IF('Inputs'!$C$47+30&lt;=$D$9,'Inputs'!$C$47+30,""))</x:f>
        <x:v>46316</x:v>
      </x:c>
      <x:c r="C100" s="37" t="n">
        <x:f>IF(B100="","",SUMIFS($D$14:$D$23,$C$14:$C$23,B100))</x:f>
        <x:v>0</x:v>
      </x:c>
      <x:c r="D100" s="37" t="n">
        <x:f>IF(B100="","",SUMIFS($E$14:$E$23,$C$14:$C$23,B100))</x:f>
        <x:v>0</x:v>
      </x:c>
      <x:c r="E100" s="37" t="n">
        <x:f>IF(B100="","",C100-D100)</x:f>
        <x:v>0</x:v>
      </x:c>
      <x:c r="F100" s="37" t="n">
        <x:f>IF(B100="","",F99+E100)</x:f>
        <x:v>-6000</x:v>
      </x:c>
      <x:c r="G100" s="37" t="n">
        <x:f>IF(OR(B100="",$I$6&lt;&gt;"Complete"),"",SUMIFS($D$32:$D$51,$C$32:$C$51,B100,$I$32:$I$51,"Ready"))</x:f>
        <x:v>0</x:v>
      </x:c>
      <x:c r="H100" s="37" t="n">
        <x:f>IF(OR(B100="",$I$6&lt;&gt;"Complete"),"",SUMIFS($E$32:$E$51,$C$32:$C$51,B100,$I$32:$I$51,"Ready"))</x:f>
        <x:v>20000</x:v>
      </x:c>
      <x:c r="I100" s="37" t="n">
        <x:f>IF(OR(B100="",$I$6&lt;&gt;"Complete"),"",I99+E100+G100-H100)</x:f>
        <x:v>74000</x:v>
      </x:c>
      <x:c r="J100" s="37" t="n">
        <x:f>IF(OR(B100="",$I$6&lt;&gt;"Complete"),"",'Inputs'!$C$49)</x:f>
        <x:v>25000</x:v>
      </x:c>
      <x:c r="K100" s="37" t="n">
        <x:f>IF(OR(B100="",$I$6&lt;&gt;"Complete"),"",I100-J100)</x:f>
        <x:v>49000</x:v>
      </x:c>
      <x:c r="L100" s="61" t="n">
        <x:f>IF(OR(B100="",$I$6&lt;&gt;"Complete"),"",IF(K100&lt;0,1,0))</x:f>
        <x:v>0</x:v>
      </x:c>
    </x:row>
    <x:row r="101" ht="23" customHeight="1">
      <x:c r="A101" s="2"/>
      <x:c r="B101" s="60" t="n">
        <x:f>IF($D$6&lt;&gt;"Complete","",IF('Inputs'!$C$47+31&lt;=$D$9,'Inputs'!$C$47+31,""))</x:f>
        <x:v>46317</x:v>
      </x:c>
      <x:c r="C101" s="37" t="n">
        <x:f>IF(B101="","",SUMIFS($D$14:$D$23,$C$14:$C$23,B101))</x:f>
        <x:v>0</x:v>
      </x:c>
      <x:c r="D101" s="37" t="n">
        <x:f>IF(B101="","",SUMIFS($E$14:$E$23,$C$14:$C$23,B101))</x:f>
        <x:v>0</x:v>
      </x:c>
      <x:c r="E101" s="37" t="n">
        <x:f>IF(B101="","",C101-D101)</x:f>
        <x:v>0</x:v>
      </x:c>
      <x:c r="F101" s="37" t="n">
        <x:f>IF(B101="","",F100+E101)</x:f>
        <x:v>-6000</x:v>
      </x:c>
      <x:c r="G101" s="37" t="n">
        <x:f>IF(OR(B101="",$I$6&lt;&gt;"Complete"),"",SUMIFS($D$32:$D$51,$C$32:$C$51,B101,$I$32:$I$51,"Ready"))</x:f>
        <x:v>0</x:v>
      </x:c>
      <x:c r="H101" s="37" t="n">
        <x:f>IF(OR(B101="",$I$6&lt;&gt;"Complete"),"",SUMIFS($E$32:$E$51,$C$32:$C$51,B101,$I$32:$I$51,"Ready"))</x:f>
        <x:v>0</x:v>
      </x:c>
      <x:c r="I101" s="37" t="n">
        <x:f>IF(OR(B101="",$I$6&lt;&gt;"Complete"),"",I100+E101+G101-H101)</x:f>
        <x:v>74000</x:v>
      </x:c>
      <x:c r="J101" s="37" t="n">
        <x:f>IF(OR(B101="",$I$6&lt;&gt;"Complete"),"",'Inputs'!$C$49)</x:f>
        <x:v>25000</x:v>
      </x:c>
      <x:c r="K101" s="37" t="n">
        <x:f>IF(OR(B101="",$I$6&lt;&gt;"Complete"),"",I101-J101)</x:f>
        <x:v>49000</x:v>
      </x:c>
      <x:c r="L101" s="61" t="n">
        <x:f>IF(OR(B101="",$I$6&lt;&gt;"Complete"),"",IF(K101&lt;0,1,0))</x:f>
        <x:v>0</x:v>
      </x:c>
    </x:row>
    <x:row r="102" ht="23" customHeight="1">
      <x:c r="A102" s="2"/>
      <x:c r="B102" s="60" t="n">
        <x:f>IF($D$6&lt;&gt;"Complete","",IF('Inputs'!$C$47+32&lt;=$D$9,'Inputs'!$C$47+32,""))</x:f>
        <x:v>46318</x:v>
      </x:c>
      <x:c r="C102" s="37" t="n">
        <x:f>IF(B102="","",SUMIFS($D$14:$D$23,$C$14:$C$23,B102))</x:f>
        <x:v>0</x:v>
      </x:c>
      <x:c r="D102" s="37" t="n">
        <x:f>IF(B102="","",SUMIFS($E$14:$E$23,$C$14:$C$23,B102))</x:f>
        <x:v>0</x:v>
      </x:c>
      <x:c r="E102" s="37" t="n">
        <x:f>IF(B102="","",C102-D102)</x:f>
        <x:v>0</x:v>
      </x:c>
      <x:c r="F102" s="37" t="n">
        <x:f>IF(B102="","",F101+E102)</x:f>
        <x:v>-6000</x:v>
      </x:c>
      <x:c r="G102" s="37" t="n">
        <x:f>IF(OR(B102="",$I$6&lt;&gt;"Complete"),"",SUMIFS($D$32:$D$51,$C$32:$C$51,B102,$I$32:$I$51,"Ready"))</x:f>
        <x:v>0</x:v>
      </x:c>
      <x:c r="H102" s="37" t="n">
        <x:f>IF(OR(B102="",$I$6&lt;&gt;"Complete"),"",SUMIFS($E$32:$E$51,$C$32:$C$51,B102,$I$32:$I$51,"Ready"))</x:f>
        <x:v>0</x:v>
      </x:c>
      <x:c r="I102" s="37" t="n">
        <x:f>IF(OR(B102="",$I$6&lt;&gt;"Complete"),"",I101+E102+G102-H102)</x:f>
        <x:v>74000</x:v>
      </x:c>
      <x:c r="J102" s="37" t="n">
        <x:f>IF(OR(B102="",$I$6&lt;&gt;"Complete"),"",'Inputs'!$C$49)</x:f>
        <x:v>25000</x:v>
      </x:c>
      <x:c r="K102" s="37" t="n">
        <x:f>IF(OR(B102="",$I$6&lt;&gt;"Complete"),"",I102-J102)</x:f>
        <x:v>49000</x:v>
      </x:c>
      <x:c r="L102" s="61" t="n">
        <x:f>IF(OR(B102="",$I$6&lt;&gt;"Complete"),"",IF(K102&lt;0,1,0))</x:f>
        <x:v>0</x:v>
      </x:c>
    </x:row>
    <x:row r="103" ht="23" customHeight="1">
      <x:c r="A103" s="2"/>
      <x:c r="B103" s="60" t="n">
        <x:f>IF($D$6&lt;&gt;"Complete","",IF('Inputs'!$C$47+33&lt;=$D$9,'Inputs'!$C$47+33,""))</x:f>
        <x:v>46319</x:v>
      </x:c>
      <x:c r="C103" s="37" t="n">
        <x:f>IF(B103="","",SUMIFS($D$14:$D$23,$C$14:$C$23,B103))</x:f>
        <x:v>0</x:v>
      </x:c>
      <x:c r="D103" s="37" t="n">
        <x:f>IF(B103="","",SUMIFS($E$14:$E$23,$C$14:$C$23,B103))</x:f>
        <x:v>0</x:v>
      </x:c>
      <x:c r="E103" s="37" t="n">
        <x:f>IF(B103="","",C103-D103)</x:f>
        <x:v>0</x:v>
      </x:c>
      <x:c r="F103" s="37" t="n">
        <x:f>IF(B103="","",F102+E103)</x:f>
        <x:v>-6000</x:v>
      </x:c>
      <x:c r="G103" s="37" t="n">
        <x:f>IF(OR(B103="",$I$6&lt;&gt;"Complete"),"",SUMIFS($D$32:$D$51,$C$32:$C$51,B103,$I$32:$I$51,"Ready"))</x:f>
        <x:v>0</x:v>
      </x:c>
      <x:c r="H103" s="37" t="n">
        <x:f>IF(OR(B103="",$I$6&lt;&gt;"Complete"),"",SUMIFS($E$32:$E$51,$C$32:$C$51,B103,$I$32:$I$51,"Ready"))</x:f>
        <x:v>0</x:v>
      </x:c>
      <x:c r="I103" s="37" t="n">
        <x:f>IF(OR(B103="",$I$6&lt;&gt;"Complete"),"",I102+E103+G103-H103)</x:f>
        <x:v>74000</x:v>
      </x:c>
      <x:c r="J103" s="37" t="n">
        <x:f>IF(OR(B103="",$I$6&lt;&gt;"Complete"),"",'Inputs'!$C$49)</x:f>
        <x:v>25000</x:v>
      </x:c>
      <x:c r="K103" s="37" t="n">
        <x:f>IF(OR(B103="",$I$6&lt;&gt;"Complete"),"",I103-J103)</x:f>
        <x:v>49000</x:v>
      </x:c>
      <x:c r="L103" s="61" t="n">
        <x:f>IF(OR(B103="",$I$6&lt;&gt;"Complete"),"",IF(K103&lt;0,1,0))</x:f>
        <x:v>0</x:v>
      </x:c>
    </x:row>
    <x:row r="104" ht="23" customHeight="1">
      <x:c r="A104" s="2"/>
      <x:c r="B104" s="60" t="n">
        <x:f>IF($D$6&lt;&gt;"Complete","",IF('Inputs'!$C$47+34&lt;=$D$9,'Inputs'!$C$47+34,""))</x:f>
        <x:v>46320</x:v>
      </x:c>
      <x:c r="C104" s="37" t="n">
        <x:f>IF(B104="","",SUMIFS($D$14:$D$23,$C$14:$C$23,B104))</x:f>
        <x:v>0</x:v>
      </x:c>
      <x:c r="D104" s="37" t="n">
        <x:f>IF(B104="","",SUMIFS($E$14:$E$23,$C$14:$C$23,B104))</x:f>
        <x:v>0</x:v>
      </x:c>
      <x:c r="E104" s="37" t="n">
        <x:f>IF(B104="","",C104-D104)</x:f>
        <x:v>0</x:v>
      </x:c>
      <x:c r="F104" s="37" t="n">
        <x:f>IF(B104="","",F103+E104)</x:f>
        <x:v>-6000</x:v>
      </x:c>
      <x:c r="G104" s="37" t="n">
        <x:f>IF(OR(B104="",$I$6&lt;&gt;"Complete"),"",SUMIFS($D$32:$D$51,$C$32:$C$51,B104,$I$32:$I$51,"Ready"))</x:f>
        <x:v>0</x:v>
      </x:c>
      <x:c r="H104" s="37" t="n">
        <x:f>IF(OR(B104="",$I$6&lt;&gt;"Complete"),"",SUMIFS($E$32:$E$51,$C$32:$C$51,B104,$I$32:$I$51,"Ready"))</x:f>
        <x:v>0</x:v>
      </x:c>
      <x:c r="I104" s="37" t="n">
        <x:f>IF(OR(B104="",$I$6&lt;&gt;"Complete"),"",I103+E104+G104-H104)</x:f>
        <x:v>74000</x:v>
      </x:c>
      <x:c r="J104" s="37" t="n">
        <x:f>IF(OR(B104="",$I$6&lt;&gt;"Complete"),"",'Inputs'!$C$49)</x:f>
        <x:v>25000</x:v>
      </x:c>
      <x:c r="K104" s="37" t="n">
        <x:f>IF(OR(B104="",$I$6&lt;&gt;"Complete"),"",I104-J104)</x:f>
        <x:v>49000</x:v>
      </x:c>
      <x:c r="L104" s="61" t="n">
        <x:f>IF(OR(B104="",$I$6&lt;&gt;"Complete"),"",IF(K104&lt;0,1,0))</x:f>
        <x:v>0</x:v>
      </x:c>
    </x:row>
    <x:row r="105" ht="23" customHeight="1">
      <x:c r="A105" s="2"/>
      <x:c r="B105" s="60" t="n">
        <x:f>IF($D$6&lt;&gt;"Complete","",IF('Inputs'!$C$47+35&lt;=$D$9,'Inputs'!$C$47+35,""))</x:f>
        <x:v>46321</x:v>
      </x:c>
      <x:c r="C105" s="37" t="n">
        <x:f>IF(B105="","",SUMIFS($D$14:$D$23,$C$14:$C$23,B105))</x:f>
        <x:v>0</x:v>
      </x:c>
      <x:c r="D105" s="37" t="n">
        <x:f>IF(B105="","",SUMIFS($E$14:$E$23,$C$14:$C$23,B105))</x:f>
        <x:v>0</x:v>
      </x:c>
      <x:c r="E105" s="37" t="n">
        <x:f>IF(B105="","",C105-D105)</x:f>
        <x:v>0</x:v>
      </x:c>
      <x:c r="F105" s="37" t="n">
        <x:f>IF(B105="","",F104+E105)</x:f>
        <x:v>-6000</x:v>
      </x:c>
      <x:c r="G105" s="37" t="n">
        <x:f>IF(OR(B105="",$I$6&lt;&gt;"Complete"),"",SUMIFS($D$32:$D$51,$C$32:$C$51,B105,$I$32:$I$51,"Ready"))</x:f>
        <x:v>0</x:v>
      </x:c>
      <x:c r="H105" s="37" t="n">
        <x:f>IF(OR(B105="",$I$6&lt;&gt;"Complete"),"",SUMIFS($E$32:$E$51,$C$32:$C$51,B105,$I$32:$I$51,"Ready"))</x:f>
        <x:v>0</x:v>
      </x:c>
      <x:c r="I105" s="37" t="n">
        <x:f>IF(OR(B105="",$I$6&lt;&gt;"Complete"),"",I104+E105+G105-H105)</x:f>
        <x:v>74000</x:v>
      </x:c>
      <x:c r="J105" s="37" t="n">
        <x:f>IF(OR(B105="",$I$6&lt;&gt;"Complete"),"",'Inputs'!$C$49)</x:f>
        <x:v>25000</x:v>
      </x:c>
      <x:c r="K105" s="37" t="n">
        <x:f>IF(OR(B105="",$I$6&lt;&gt;"Complete"),"",I105-J105)</x:f>
        <x:v>49000</x:v>
      </x:c>
      <x:c r="L105" s="61" t="n">
        <x:f>IF(OR(B105="",$I$6&lt;&gt;"Complete"),"",IF(K105&lt;0,1,0))</x:f>
        <x:v>0</x:v>
      </x:c>
    </x:row>
    <x:row r="106" ht="23" customHeight="1">
      <x:c r="A106" s="2"/>
      <x:c r="B106" s="60" t="n">
        <x:f>IF($D$6&lt;&gt;"Complete","",IF('Inputs'!$C$47+36&lt;=$D$9,'Inputs'!$C$47+36,""))</x:f>
        <x:v>46322</x:v>
      </x:c>
      <x:c r="C106" s="37" t="n">
        <x:f>IF(B106="","",SUMIFS($D$14:$D$23,$C$14:$C$23,B106))</x:f>
        <x:v>0</x:v>
      </x:c>
      <x:c r="D106" s="37" t="n">
        <x:f>IF(B106="","",SUMIFS($E$14:$E$23,$C$14:$C$23,B106))</x:f>
        <x:v>0</x:v>
      </x:c>
      <x:c r="E106" s="37" t="n">
        <x:f>IF(B106="","",C106-D106)</x:f>
        <x:v>0</x:v>
      </x:c>
      <x:c r="F106" s="37" t="n">
        <x:f>IF(B106="","",F105+E106)</x:f>
        <x:v>-6000</x:v>
      </x:c>
      <x:c r="G106" s="37" t="n">
        <x:f>IF(OR(B106="",$I$6&lt;&gt;"Complete"),"",SUMIFS($D$32:$D$51,$C$32:$C$51,B106,$I$32:$I$51,"Ready"))</x:f>
        <x:v>0</x:v>
      </x:c>
      <x:c r="H106" s="37" t="n">
        <x:f>IF(OR(B106="",$I$6&lt;&gt;"Complete"),"",SUMIFS($E$32:$E$51,$C$32:$C$51,B106,$I$32:$I$51,"Ready"))</x:f>
        <x:v>0</x:v>
      </x:c>
      <x:c r="I106" s="37" t="n">
        <x:f>IF(OR(B106="",$I$6&lt;&gt;"Complete"),"",I105+E106+G106-H106)</x:f>
        <x:v>74000</x:v>
      </x:c>
      <x:c r="J106" s="37" t="n">
        <x:f>IF(OR(B106="",$I$6&lt;&gt;"Complete"),"",'Inputs'!$C$49)</x:f>
        <x:v>25000</x:v>
      </x:c>
      <x:c r="K106" s="37" t="n">
        <x:f>IF(OR(B106="",$I$6&lt;&gt;"Complete"),"",I106-J106)</x:f>
        <x:v>49000</x:v>
      </x:c>
      <x:c r="L106" s="61" t="n">
        <x:f>IF(OR(B106="",$I$6&lt;&gt;"Complete"),"",IF(K106&lt;0,1,0))</x:f>
        <x:v>0</x:v>
      </x:c>
    </x:row>
    <x:row r="107" ht="23" customHeight="1">
      <x:c r="A107" s="2"/>
      <x:c r="B107" s="60" t="n">
        <x:f>IF($D$6&lt;&gt;"Complete","",IF('Inputs'!$C$47+37&lt;=$D$9,'Inputs'!$C$47+37,""))</x:f>
        <x:v>46323</x:v>
      </x:c>
      <x:c r="C107" s="37" t="n">
        <x:f>IF(B107="","",SUMIFS($D$14:$D$23,$C$14:$C$23,B107))</x:f>
        <x:v>0</x:v>
      </x:c>
      <x:c r="D107" s="37" t="n">
        <x:f>IF(B107="","",SUMIFS($E$14:$E$23,$C$14:$C$23,B107))</x:f>
        <x:v>0</x:v>
      </x:c>
      <x:c r="E107" s="37" t="n">
        <x:f>IF(B107="","",C107-D107)</x:f>
        <x:v>0</x:v>
      </x:c>
      <x:c r="F107" s="37" t="n">
        <x:f>IF(B107="","",F106+E107)</x:f>
        <x:v>-6000</x:v>
      </x:c>
      <x:c r="G107" s="37" t="n">
        <x:f>IF(OR(B107="",$I$6&lt;&gt;"Complete"),"",SUMIFS($D$32:$D$51,$C$32:$C$51,B107,$I$32:$I$51,"Ready"))</x:f>
        <x:v>0</x:v>
      </x:c>
      <x:c r="H107" s="37" t="n">
        <x:f>IF(OR(B107="",$I$6&lt;&gt;"Complete"),"",SUMIFS($E$32:$E$51,$C$32:$C$51,B107,$I$32:$I$51,"Ready"))</x:f>
        <x:v>0</x:v>
      </x:c>
      <x:c r="I107" s="37" t="n">
        <x:f>IF(OR(B107="",$I$6&lt;&gt;"Complete"),"",I106+E107+G107-H107)</x:f>
        <x:v>74000</x:v>
      </x:c>
      <x:c r="J107" s="37" t="n">
        <x:f>IF(OR(B107="",$I$6&lt;&gt;"Complete"),"",'Inputs'!$C$49)</x:f>
        <x:v>25000</x:v>
      </x:c>
      <x:c r="K107" s="37" t="n">
        <x:f>IF(OR(B107="",$I$6&lt;&gt;"Complete"),"",I107-J107)</x:f>
        <x:v>49000</x:v>
      </x:c>
      <x:c r="L107" s="61" t="n">
        <x:f>IF(OR(B107="",$I$6&lt;&gt;"Complete"),"",IF(K107&lt;0,1,0))</x:f>
        <x:v>0</x:v>
      </x:c>
    </x:row>
    <x:row r="108" ht="23" customHeight="1">
      <x:c r="A108" s="2"/>
      <x:c r="B108" s="60" t="n">
        <x:f>IF($D$6&lt;&gt;"Complete","",IF('Inputs'!$C$47+38&lt;=$D$9,'Inputs'!$C$47+38,""))</x:f>
        <x:v>46324</x:v>
      </x:c>
      <x:c r="C108" s="37" t="n">
        <x:f>IF(B108="","",SUMIFS($D$14:$D$23,$C$14:$C$23,B108))</x:f>
        <x:v>0</x:v>
      </x:c>
      <x:c r="D108" s="37" t="n">
        <x:f>IF(B108="","",SUMIFS($E$14:$E$23,$C$14:$C$23,B108))</x:f>
        <x:v>0</x:v>
      </x:c>
      <x:c r="E108" s="37" t="n">
        <x:f>IF(B108="","",C108-D108)</x:f>
        <x:v>0</x:v>
      </x:c>
      <x:c r="F108" s="37" t="n">
        <x:f>IF(B108="","",F107+E108)</x:f>
        <x:v>-6000</x:v>
      </x:c>
      <x:c r="G108" s="37" t="n">
        <x:f>IF(OR(B108="",$I$6&lt;&gt;"Complete"),"",SUMIFS($D$32:$D$51,$C$32:$C$51,B108,$I$32:$I$51,"Ready"))</x:f>
        <x:v>0</x:v>
      </x:c>
      <x:c r="H108" s="37" t="n">
        <x:f>IF(OR(B108="",$I$6&lt;&gt;"Complete"),"",SUMIFS($E$32:$E$51,$C$32:$C$51,B108,$I$32:$I$51,"Ready"))</x:f>
        <x:v>0</x:v>
      </x:c>
      <x:c r="I108" s="37" t="n">
        <x:f>IF(OR(B108="",$I$6&lt;&gt;"Complete"),"",I107+E108+G108-H108)</x:f>
        <x:v>74000</x:v>
      </x:c>
      <x:c r="J108" s="37" t="n">
        <x:f>IF(OR(B108="",$I$6&lt;&gt;"Complete"),"",'Inputs'!$C$49)</x:f>
        <x:v>25000</x:v>
      </x:c>
      <x:c r="K108" s="37" t="n">
        <x:f>IF(OR(B108="",$I$6&lt;&gt;"Complete"),"",I108-J108)</x:f>
        <x:v>49000</x:v>
      </x:c>
      <x:c r="L108" s="61" t="n">
        <x:f>IF(OR(B108="",$I$6&lt;&gt;"Complete"),"",IF(K108&lt;0,1,0))</x:f>
        <x:v>0</x:v>
      </x:c>
    </x:row>
    <x:row r="109" ht="23" customHeight="1">
      <x:c r="A109" s="2"/>
      <x:c r="B109" s="60" t="n">
        <x:f>IF($D$6&lt;&gt;"Complete","",IF('Inputs'!$C$47+39&lt;=$D$9,'Inputs'!$C$47+39,""))</x:f>
        <x:v>46325</x:v>
      </x:c>
      <x:c r="C109" s="37" t="n">
        <x:f>IF(B109="","",SUMIFS($D$14:$D$23,$C$14:$C$23,B109))</x:f>
        <x:v>0</x:v>
      </x:c>
      <x:c r="D109" s="37" t="n">
        <x:f>IF(B109="","",SUMIFS($E$14:$E$23,$C$14:$C$23,B109))</x:f>
        <x:v>0</x:v>
      </x:c>
      <x:c r="E109" s="37" t="n">
        <x:f>IF(B109="","",C109-D109)</x:f>
        <x:v>0</x:v>
      </x:c>
      <x:c r="F109" s="37" t="n">
        <x:f>IF(B109="","",F108+E109)</x:f>
        <x:v>-6000</x:v>
      </x:c>
      <x:c r="G109" s="37" t="n">
        <x:f>IF(OR(B109="",$I$6&lt;&gt;"Complete"),"",SUMIFS($D$32:$D$51,$C$32:$C$51,B109,$I$32:$I$51,"Ready"))</x:f>
        <x:v>0</x:v>
      </x:c>
      <x:c r="H109" s="37" t="n">
        <x:f>IF(OR(B109="",$I$6&lt;&gt;"Complete"),"",SUMIFS($E$32:$E$51,$C$32:$C$51,B109,$I$32:$I$51,"Ready"))</x:f>
        <x:v>0</x:v>
      </x:c>
      <x:c r="I109" s="37" t="n">
        <x:f>IF(OR(B109="",$I$6&lt;&gt;"Complete"),"",I108+E109+G109-H109)</x:f>
        <x:v>74000</x:v>
      </x:c>
      <x:c r="J109" s="37" t="n">
        <x:f>IF(OR(B109="",$I$6&lt;&gt;"Complete"),"",'Inputs'!$C$49)</x:f>
        <x:v>25000</x:v>
      </x:c>
      <x:c r="K109" s="37" t="n">
        <x:f>IF(OR(B109="",$I$6&lt;&gt;"Complete"),"",I109-J109)</x:f>
        <x:v>49000</x:v>
      </x:c>
      <x:c r="L109" s="61" t="n">
        <x:f>IF(OR(B109="",$I$6&lt;&gt;"Complete"),"",IF(K109&lt;0,1,0))</x:f>
        <x:v>0</x:v>
      </x:c>
    </x:row>
    <x:row r="110" ht="23" customHeight="1">
      <x:c r="A110" s="2"/>
      <x:c r="B110" s="60" t="n">
        <x:f>IF($D$6&lt;&gt;"Complete","",IF('Inputs'!$C$47+40&lt;=$D$9,'Inputs'!$C$47+40,""))</x:f>
        <x:v>46326</x:v>
      </x:c>
      <x:c r="C110" s="37" t="n">
        <x:f>IF(B110="","",SUMIFS($D$14:$D$23,$C$14:$C$23,B110))</x:f>
        <x:v>0</x:v>
      </x:c>
      <x:c r="D110" s="37" t="n">
        <x:f>IF(B110="","",SUMIFS($E$14:$E$23,$C$14:$C$23,B110))</x:f>
        <x:v>0</x:v>
      </x:c>
      <x:c r="E110" s="37" t="n">
        <x:f>IF(B110="","",C110-D110)</x:f>
        <x:v>0</x:v>
      </x:c>
      <x:c r="F110" s="37" t="n">
        <x:f>IF(B110="","",F109+E110)</x:f>
        <x:v>-6000</x:v>
      </x:c>
      <x:c r="G110" s="37" t="n">
        <x:f>IF(OR(B110="",$I$6&lt;&gt;"Complete"),"",SUMIFS($D$32:$D$51,$C$32:$C$51,B110,$I$32:$I$51,"Ready"))</x:f>
        <x:v>0</x:v>
      </x:c>
      <x:c r="H110" s="37" t="n">
        <x:f>IF(OR(B110="",$I$6&lt;&gt;"Complete"),"",SUMIFS($E$32:$E$51,$C$32:$C$51,B110,$I$32:$I$51,"Ready"))</x:f>
        <x:v>0</x:v>
      </x:c>
      <x:c r="I110" s="37" t="n">
        <x:f>IF(OR(B110="",$I$6&lt;&gt;"Complete"),"",I109+E110+G110-H110)</x:f>
        <x:v>74000</x:v>
      </x:c>
      <x:c r="J110" s="37" t="n">
        <x:f>IF(OR(B110="",$I$6&lt;&gt;"Complete"),"",'Inputs'!$C$49)</x:f>
        <x:v>25000</x:v>
      </x:c>
      <x:c r="K110" s="37" t="n">
        <x:f>IF(OR(B110="",$I$6&lt;&gt;"Complete"),"",I110-J110)</x:f>
        <x:v>49000</x:v>
      </x:c>
      <x:c r="L110" s="61" t="n">
        <x:f>IF(OR(B110="",$I$6&lt;&gt;"Complete"),"",IF(K110&lt;0,1,0))</x:f>
        <x:v>0</x:v>
      </x:c>
    </x:row>
    <x:row r="111" ht="23" customHeight="1">
      <x:c r="A111" s="2"/>
      <x:c r="B111" s="60" t="n">
        <x:f>IF($D$6&lt;&gt;"Complete","",IF('Inputs'!$C$47+41&lt;=$D$9,'Inputs'!$C$47+41,""))</x:f>
        <x:v>46327</x:v>
      </x:c>
      <x:c r="C111" s="37" t="n">
        <x:f>IF(B111="","",SUMIFS($D$14:$D$23,$C$14:$C$23,B111))</x:f>
        <x:v>0</x:v>
      </x:c>
      <x:c r="D111" s="37" t="n">
        <x:f>IF(B111="","",SUMIFS($E$14:$E$23,$C$14:$C$23,B111))</x:f>
        <x:v>0</x:v>
      </x:c>
      <x:c r="E111" s="37" t="n">
        <x:f>IF(B111="","",C111-D111)</x:f>
        <x:v>0</x:v>
      </x:c>
      <x:c r="F111" s="37" t="n">
        <x:f>IF(B111="","",F110+E111)</x:f>
        <x:v>-6000</x:v>
      </x:c>
      <x:c r="G111" s="37" t="n">
        <x:f>IF(OR(B111="",$I$6&lt;&gt;"Complete"),"",SUMIFS($D$32:$D$51,$C$32:$C$51,B111,$I$32:$I$51,"Ready"))</x:f>
        <x:v>0</x:v>
      </x:c>
      <x:c r="H111" s="37" t="n">
        <x:f>IF(OR(B111="",$I$6&lt;&gt;"Complete"),"",SUMIFS($E$32:$E$51,$C$32:$C$51,B111,$I$32:$I$51,"Ready"))</x:f>
        <x:v>0</x:v>
      </x:c>
      <x:c r="I111" s="37" t="n">
        <x:f>IF(OR(B111="",$I$6&lt;&gt;"Complete"),"",I110+E111+G111-H111)</x:f>
        <x:v>74000</x:v>
      </x:c>
      <x:c r="J111" s="37" t="n">
        <x:f>IF(OR(B111="",$I$6&lt;&gt;"Complete"),"",'Inputs'!$C$49)</x:f>
        <x:v>25000</x:v>
      </x:c>
      <x:c r="K111" s="37" t="n">
        <x:f>IF(OR(B111="",$I$6&lt;&gt;"Complete"),"",I111-J111)</x:f>
        <x:v>49000</x:v>
      </x:c>
      <x:c r="L111" s="61" t="n">
        <x:f>IF(OR(B111="",$I$6&lt;&gt;"Complete"),"",IF(K111&lt;0,1,0))</x:f>
        <x:v>0</x:v>
      </x:c>
    </x:row>
    <x:row r="112" ht="23" customHeight="1">
      <x:c r="A112" s="2"/>
      <x:c r="B112" s="60" t="n">
        <x:f>IF($D$6&lt;&gt;"Complete","",IF('Inputs'!$C$47+42&lt;=$D$9,'Inputs'!$C$47+42,""))</x:f>
        <x:v>46328</x:v>
      </x:c>
      <x:c r="C112" s="37" t="n">
        <x:f>IF(B112="","",SUMIFS($D$14:$D$23,$C$14:$C$23,B112))</x:f>
        <x:v>0</x:v>
      </x:c>
      <x:c r="D112" s="37" t="n">
        <x:f>IF(B112="","",SUMIFS($E$14:$E$23,$C$14:$C$23,B112))</x:f>
        <x:v>0</x:v>
      </x:c>
      <x:c r="E112" s="37" t="n">
        <x:f>IF(B112="","",C112-D112)</x:f>
        <x:v>0</x:v>
      </x:c>
      <x:c r="F112" s="37" t="n">
        <x:f>IF(B112="","",F111+E112)</x:f>
        <x:v>-6000</x:v>
      </x:c>
      <x:c r="G112" s="37" t="n">
        <x:f>IF(OR(B112="",$I$6&lt;&gt;"Complete"),"",SUMIFS($D$32:$D$51,$C$32:$C$51,B112,$I$32:$I$51,"Ready"))</x:f>
        <x:v>0</x:v>
      </x:c>
      <x:c r="H112" s="37" t="n">
        <x:f>IF(OR(B112="",$I$6&lt;&gt;"Complete"),"",SUMIFS($E$32:$E$51,$C$32:$C$51,B112,$I$32:$I$51,"Ready"))</x:f>
        <x:v>0</x:v>
      </x:c>
      <x:c r="I112" s="37" t="n">
        <x:f>IF(OR(B112="",$I$6&lt;&gt;"Complete"),"",I111+E112+G112-H112)</x:f>
        <x:v>74000</x:v>
      </x:c>
      <x:c r="J112" s="37" t="n">
        <x:f>IF(OR(B112="",$I$6&lt;&gt;"Complete"),"",'Inputs'!$C$49)</x:f>
        <x:v>25000</x:v>
      </x:c>
      <x:c r="K112" s="37" t="n">
        <x:f>IF(OR(B112="",$I$6&lt;&gt;"Complete"),"",I112-J112)</x:f>
        <x:v>49000</x:v>
      </x:c>
      <x:c r="L112" s="61" t="n">
        <x:f>IF(OR(B112="",$I$6&lt;&gt;"Complete"),"",IF(K112&lt;0,1,0))</x:f>
        <x:v>0</x:v>
      </x:c>
    </x:row>
    <x:row r="113" ht="23" customHeight="1">
      <x:c r="A113" s="2"/>
      <x:c r="B113" s="60" t="n">
        <x:f>IF($D$6&lt;&gt;"Complete","",IF('Inputs'!$C$47+43&lt;=$D$9,'Inputs'!$C$47+43,""))</x:f>
        <x:v>46329</x:v>
      </x:c>
      <x:c r="C113" s="37" t="n">
        <x:f>IF(B113="","",SUMIFS($D$14:$D$23,$C$14:$C$23,B113))</x:f>
        <x:v>0</x:v>
      </x:c>
      <x:c r="D113" s="37" t="n">
        <x:f>IF(B113="","",SUMIFS($E$14:$E$23,$C$14:$C$23,B113))</x:f>
        <x:v>0</x:v>
      </x:c>
      <x:c r="E113" s="37" t="n">
        <x:f>IF(B113="","",C113-D113)</x:f>
        <x:v>0</x:v>
      </x:c>
      <x:c r="F113" s="37" t="n">
        <x:f>IF(B113="","",F112+E113)</x:f>
        <x:v>-6000</x:v>
      </x:c>
      <x:c r="G113" s="37" t="n">
        <x:f>IF(OR(B113="",$I$6&lt;&gt;"Complete"),"",SUMIFS($D$32:$D$51,$C$32:$C$51,B113,$I$32:$I$51,"Ready"))</x:f>
        <x:v>0</x:v>
      </x:c>
      <x:c r="H113" s="37" t="n">
        <x:f>IF(OR(B113="",$I$6&lt;&gt;"Complete"),"",SUMIFS($E$32:$E$51,$C$32:$C$51,B113,$I$32:$I$51,"Ready"))</x:f>
        <x:v>0</x:v>
      </x:c>
      <x:c r="I113" s="37" t="n">
        <x:f>IF(OR(B113="",$I$6&lt;&gt;"Complete"),"",I112+E113+G113-H113)</x:f>
        <x:v>74000</x:v>
      </x:c>
      <x:c r="J113" s="37" t="n">
        <x:f>IF(OR(B113="",$I$6&lt;&gt;"Complete"),"",'Inputs'!$C$49)</x:f>
        <x:v>25000</x:v>
      </x:c>
      <x:c r="K113" s="37" t="n">
        <x:f>IF(OR(B113="",$I$6&lt;&gt;"Complete"),"",I113-J113)</x:f>
        <x:v>49000</x:v>
      </x:c>
      <x:c r="L113" s="61" t="n">
        <x:f>IF(OR(B113="",$I$6&lt;&gt;"Complete"),"",IF(K113&lt;0,1,0))</x:f>
        <x:v>0</x:v>
      </x:c>
    </x:row>
    <x:row r="114" ht="23" customHeight="1">
      <x:c r="A114" s="2"/>
      <x:c r="B114" s="60" t="n">
        <x:f>IF($D$6&lt;&gt;"Complete","",IF('Inputs'!$C$47+44&lt;=$D$9,'Inputs'!$C$47+44,""))</x:f>
        <x:v>46330</x:v>
      </x:c>
      <x:c r="C114" s="37" t="n">
        <x:f>IF(B114="","",SUMIFS($D$14:$D$23,$C$14:$C$23,B114))</x:f>
        <x:v>0</x:v>
      </x:c>
      <x:c r="D114" s="37" t="n">
        <x:f>IF(B114="","",SUMIFS($E$14:$E$23,$C$14:$C$23,B114))</x:f>
        <x:v>0</x:v>
      </x:c>
      <x:c r="E114" s="37" t="n">
        <x:f>IF(B114="","",C114-D114)</x:f>
        <x:v>0</x:v>
      </x:c>
      <x:c r="F114" s="37" t="n">
        <x:f>IF(B114="","",F113+E114)</x:f>
        <x:v>-6000</x:v>
      </x:c>
      <x:c r="G114" s="37" t="n">
        <x:f>IF(OR(B114="",$I$6&lt;&gt;"Complete"),"",SUMIFS($D$32:$D$51,$C$32:$C$51,B114,$I$32:$I$51,"Ready"))</x:f>
        <x:v>0</x:v>
      </x:c>
      <x:c r="H114" s="37" t="n">
        <x:f>IF(OR(B114="",$I$6&lt;&gt;"Complete"),"",SUMIFS($E$32:$E$51,$C$32:$C$51,B114,$I$32:$I$51,"Ready"))</x:f>
        <x:v>0</x:v>
      </x:c>
      <x:c r="I114" s="37" t="n">
        <x:f>IF(OR(B114="",$I$6&lt;&gt;"Complete"),"",I113+E114+G114-H114)</x:f>
        <x:v>74000</x:v>
      </x:c>
      <x:c r="J114" s="37" t="n">
        <x:f>IF(OR(B114="",$I$6&lt;&gt;"Complete"),"",'Inputs'!$C$49)</x:f>
        <x:v>25000</x:v>
      </x:c>
      <x:c r="K114" s="37" t="n">
        <x:f>IF(OR(B114="",$I$6&lt;&gt;"Complete"),"",I114-J114)</x:f>
        <x:v>49000</x:v>
      </x:c>
      <x:c r="L114" s="61" t="n">
        <x:f>IF(OR(B114="",$I$6&lt;&gt;"Complete"),"",IF(K114&lt;0,1,0))</x:f>
        <x:v>0</x:v>
      </x:c>
    </x:row>
    <x:row r="115" ht="23" customHeight="1">
      <x:c r="A115" s="2"/>
      <x:c r="B115" s="60" t="n">
        <x:f>IF($D$6&lt;&gt;"Complete","",IF('Inputs'!$C$47+45&lt;=$D$9,'Inputs'!$C$47+45,""))</x:f>
        <x:v>46331</x:v>
      </x:c>
      <x:c r="C115" s="37" t="n">
        <x:f>IF(B115="","",SUMIFS($D$14:$D$23,$C$14:$C$23,B115))</x:f>
        <x:v>0</x:v>
      </x:c>
      <x:c r="D115" s="37" t="n">
        <x:f>IF(B115="","",SUMIFS($E$14:$E$23,$C$14:$C$23,B115))</x:f>
        <x:v>14000</x:v>
      </x:c>
      <x:c r="E115" s="37" t="n">
        <x:f>IF(B115="","",C115-D115)</x:f>
        <x:v>-14000</x:v>
      </x:c>
      <x:c r="F115" s="37" t="n">
        <x:f>IF(B115="","",F114+E115)</x:f>
        <x:v>-20000</x:v>
      </x:c>
      <x:c r="G115" s="37" t="n">
        <x:f>IF(OR(B115="",$I$6&lt;&gt;"Complete"),"",SUMIFS($D$32:$D$51,$C$32:$C$51,B115,$I$32:$I$51,"Ready"))</x:f>
        <x:v>0</x:v>
      </x:c>
      <x:c r="H115" s="37" t="n">
        <x:f>IF(OR(B115="",$I$6&lt;&gt;"Complete"),"",SUMIFS($E$32:$E$51,$C$32:$C$51,B115,$I$32:$I$51,"Ready"))</x:f>
        <x:v>0</x:v>
      </x:c>
      <x:c r="I115" s="37" t="n">
        <x:f>IF(OR(B115="",$I$6&lt;&gt;"Complete"),"",I114+E115+G115-H115)</x:f>
        <x:v>60000</x:v>
      </x:c>
      <x:c r="J115" s="37" t="n">
        <x:f>IF(OR(B115="",$I$6&lt;&gt;"Complete"),"",'Inputs'!$C$49)</x:f>
        <x:v>25000</x:v>
      </x:c>
      <x:c r="K115" s="37" t="n">
        <x:f>IF(OR(B115="",$I$6&lt;&gt;"Complete"),"",I115-J115)</x:f>
        <x:v>35000</x:v>
      </x:c>
      <x:c r="L115" s="61" t="n">
        <x:f>IF(OR(B115="",$I$6&lt;&gt;"Complete"),"",IF(K115&lt;0,1,0))</x:f>
        <x:v>0</x:v>
      </x:c>
    </x:row>
    <x:row r="116" ht="23" customHeight="1">
      <x:c r="A116" s="2"/>
      <x:c r="B116" s="60" t="n">
        <x:f>IF($D$6&lt;&gt;"Complete","",IF('Inputs'!$C$47+46&lt;=$D$9,'Inputs'!$C$47+46,""))</x:f>
        <x:v>46332</x:v>
      </x:c>
      <x:c r="C116" s="37" t="n">
        <x:f>IF(B116="","",SUMIFS($D$14:$D$23,$C$14:$C$23,B116))</x:f>
        <x:v>0</x:v>
      </x:c>
      <x:c r="D116" s="37" t="n">
        <x:f>IF(B116="","",SUMIFS($E$14:$E$23,$C$14:$C$23,B116))</x:f>
        <x:v>0</x:v>
      </x:c>
      <x:c r="E116" s="37" t="n">
        <x:f>IF(B116="","",C116-D116)</x:f>
        <x:v>0</x:v>
      </x:c>
      <x:c r="F116" s="37" t="n">
        <x:f>IF(B116="","",F115+E116)</x:f>
        <x:v>-20000</x:v>
      </x:c>
      <x:c r="G116" s="37" t="n">
        <x:f>IF(OR(B116="",$I$6&lt;&gt;"Complete"),"",SUMIFS($D$32:$D$51,$C$32:$C$51,B116,$I$32:$I$51,"Ready"))</x:f>
        <x:v>0</x:v>
      </x:c>
      <x:c r="H116" s="37" t="n">
        <x:f>IF(OR(B116="",$I$6&lt;&gt;"Complete"),"",SUMIFS($E$32:$E$51,$C$32:$C$51,B116,$I$32:$I$51,"Ready"))</x:f>
        <x:v>0</x:v>
      </x:c>
      <x:c r="I116" s="37" t="n">
        <x:f>IF(OR(B116="",$I$6&lt;&gt;"Complete"),"",I115+E116+G116-H116)</x:f>
        <x:v>60000</x:v>
      </x:c>
      <x:c r="J116" s="37" t="n">
        <x:f>IF(OR(B116="",$I$6&lt;&gt;"Complete"),"",'Inputs'!$C$49)</x:f>
        <x:v>25000</x:v>
      </x:c>
      <x:c r="K116" s="37" t="n">
        <x:f>IF(OR(B116="",$I$6&lt;&gt;"Complete"),"",I116-J116)</x:f>
        <x:v>35000</x:v>
      </x:c>
      <x:c r="L116" s="61" t="n">
        <x:f>IF(OR(B116="",$I$6&lt;&gt;"Complete"),"",IF(K116&lt;0,1,0))</x:f>
        <x:v>0</x:v>
      </x:c>
    </x:row>
    <x:row r="117" ht="23" customHeight="1">
      <x:c r="A117" s="2"/>
      <x:c r="B117" s="60" t="n">
        <x:f>IF($D$6&lt;&gt;"Complete","",IF('Inputs'!$C$47+47&lt;=$D$9,'Inputs'!$C$47+47,""))</x:f>
        <x:v>46333</x:v>
      </x:c>
      <x:c r="C117" s="37" t="n">
        <x:f>IF(B117="","",SUMIFS($D$14:$D$23,$C$14:$C$23,B117))</x:f>
        <x:v>0</x:v>
      </x:c>
      <x:c r="D117" s="37" t="n">
        <x:f>IF(B117="","",SUMIFS($E$14:$E$23,$C$14:$C$23,B117))</x:f>
        <x:v>0</x:v>
      </x:c>
      <x:c r="E117" s="37" t="n">
        <x:f>IF(B117="","",C117-D117)</x:f>
        <x:v>0</x:v>
      </x:c>
      <x:c r="F117" s="37" t="n">
        <x:f>IF(B117="","",F116+E117)</x:f>
        <x:v>-20000</x:v>
      </x:c>
      <x:c r="G117" s="37" t="n">
        <x:f>IF(OR(B117="",$I$6&lt;&gt;"Complete"),"",SUMIFS($D$32:$D$51,$C$32:$C$51,B117,$I$32:$I$51,"Ready"))</x:f>
        <x:v>0</x:v>
      </x:c>
      <x:c r="H117" s="37" t="n">
        <x:f>IF(OR(B117="",$I$6&lt;&gt;"Complete"),"",SUMIFS($E$32:$E$51,$C$32:$C$51,B117,$I$32:$I$51,"Ready"))</x:f>
        <x:v>0</x:v>
      </x:c>
      <x:c r="I117" s="37" t="n">
        <x:f>IF(OR(B117="",$I$6&lt;&gt;"Complete"),"",I116+E117+G117-H117)</x:f>
        <x:v>60000</x:v>
      </x:c>
      <x:c r="J117" s="37" t="n">
        <x:f>IF(OR(B117="",$I$6&lt;&gt;"Complete"),"",'Inputs'!$C$49)</x:f>
        <x:v>25000</x:v>
      </x:c>
      <x:c r="K117" s="37" t="n">
        <x:f>IF(OR(B117="",$I$6&lt;&gt;"Complete"),"",I117-J117)</x:f>
        <x:v>35000</x:v>
      </x:c>
      <x:c r="L117" s="61" t="n">
        <x:f>IF(OR(B117="",$I$6&lt;&gt;"Complete"),"",IF(K117&lt;0,1,0))</x:f>
        <x:v>0</x:v>
      </x:c>
    </x:row>
    <x:row r="118" ht="23" customHeight="1">
      <x:c r="A118" s="2"/>
      <x:c r="B118" s="60" t="n">
        <x:f>IF($D$6&lt;&gt;"Complete","",IF('Inputs'!$C$47+48&lt;=$D$9,'Inputs'!$C$47+48,""))</x:f>
        <x:v>46334</x:v>
      </x:c>
      <x:c r="C118" s="37" t="n">
        <x:f>IF(B118="","",SUMIFS($D$14:$D$23,$C$14:$C$23,B118))</x:f>
        <x:v>0</x:v>
      </x:c>
      <x:c r="D118" s="37" t="n">
        <x:f>IF(B118="","",SUMIFS($E$14:$E$23,$C$14:$C$23,B118))</x:f>
        <x:v>0</x:v>
      </x:c>
      <x:c r="E118" s="37" t="n">
        <x:f>IF(B118="","",C118-D118)</x:f>
        <x:v>0</x:v>
      </x:c>
      <x:c r="F118" s="37" t="n">
        <x:f>IF(B118="","",F117+E118)</x:f>
        <x:v>-20000</x:v>
      </x:c>
      <x:c r="G118" s="37" t="n">
        <x:f>IF(OR(B118="",$I$6&lt;&gt;"Complete"),"",SUMIFS($D$32:$D$51,$C$32:$C$51,B118,$I$32:$I$51,"Ready"))</x:f>
        <x:v>0</x:v>
      </x:c>
      <x:c r="H118" s="37" t="n">
        <x:f>IF(OR(B118="",$I$6&lt;&gt;"Complete"),"",SUMIFS($E$32:$E$51,$C$32:$C$51,B118,$I$32:$I$51,"Ready"))</x:f>
        <x:v>0</x:v>
      </x:c>
      <x:c r="I118" s="37" t="n">
        <x:f>IF(OR(B118="",$I$6&lt;&gt;"Complete"),"",I117+E118+G118-H118)</x:f>
        <x:v>60000</x:v>
      </x:c>
      <x:c r="J118" s="37" t="n">
        <x:f>IF(OR(B118="",$I$6&lt;&gt;"Complete"),"",'Inputs'!$C$49)</x:f>
        <x:v>25000</x:v>
      </x:c>
      <x:c r="K118" s="37" t="n">
        <x:f>IF(OR(B118="",$I$6&lt;&gt;"Complete"),"",I118-J118)</x:f>
        <x:v>35000</x:v>
      </x:c>
      <x:c r="L118" s="61" t="n">
        <x:f>IF(OR(B118="",$I$6&lt;&gt;"Complete"),"",IF(K118&lt;0,1,0))</x:f>
        <x:v>0</x:v>
      </x:c>
    </x:row>
    <x:row r="119" ht="23" customHeight="1">
      <x:c r="A119" s="2"/>
      <x:c r="B119" s="60" t="n">
        <x:f>IF($D$6&lt;&gt;"Complete","",IF('Inputs'!$C$47+49&lt;=$D$9,'Inputs'!$C$47+49,""))</x:f>
        <x:v>46335</x:v>
      </x:c>
      <x:c r="C119" s="37" t="n">
        <x:f>IF(B119="","",SUMIFS($D$14:$D$23,$C$14:$C$23,B119))</x:f>
        <x:v>0</x:v>
      </x:c>
      <x:c r="D119" s="37" t="n">
        <x:f>IF(B119="","",SUMIFS($E$14:$E$23,$C$14:$C$23,B119))</x:f>
        <x:v>0</x:v>
      </x:c>
      <x:c r="E119" s="37" t="n">
        <x:f>IF(B119="","",C119-D119)</x:f>
        <x:v>0</x:v>
      </x:c>
      <x:c r="F119" s="37" t="n">
        <x:f>IF(B119="","",F118+E119)</x:f>
        <x:v>-20000</x:v>
      </x:c>
      <x:c r="G119" s="37" t="n">
        <x:f>IF(OR(B119="",$I$6&lt;&gt;"Complete"),"",SUMIFS($D$32:$D$51,$C$32:$C$51,B119,$I$32:$I$51,"Ready"))</x:f>
        <x:v>0</x:v>
      </x:c>
      <x:c r="H119" s="37" t="n">
        <x:f>IF(OR(B119="",$I$6&lt;&gt;"Complete"),"",SUMIFS($E$32:$E$51,$C$32:$C$51,B119,$I$32:$I$51,"Ready"))</x:f>
        <x:v>0</x:v>
      </x:c>
      <x:c r="I119" s="37" t="n">
        <x:f>IF(OR(B119="",$I$6&lt;&gt;"Complete"),"",I118+E119+G119-H119)</x:f>
        <x:v>60000</x:v>
      </x:c>
      <x:c r="J119" s="37" t="n">
        <x:f>IF(OR(B119="",$I$6&lt;&gt;"Complete"),"",'Inputs'!$C$49)</x:f>
        <x:v>25000</x:v>
      </x:c>
      <x:c r="K119" s="37" t="n">
        <x:f>IF(OR(B119="",$I$6&lt;&gt;"Complete"),"",I119-J119)</x:f>
        <x:v>35000</x:v>
      </x:c>
      <x:c r="L119" s="61" t="n">
        <x:f>IF(OR(B119="",$I$6&lt;&gt;"Complete"),"",IF(K119&lt;0,1,0))</x:f>
        <x:v>0</x:v>
      </x:c>
    </x:row>
    <x:row r="120" ht="23" customHeight="1">
      <x:c r="A120" s="2"/>
      <x:c r="B120" s="60" t="n">
        <x:f>IF($D$6&lt;&gt;"Complete","",IF('Inputs'!$C$47+50&lt;=$D$9,'Inputs'!$C$47+50,""))</x:f>
        <x:v>46336</x:v>
      </x:c>
      <x:c r="C120" s="37" t="n">
        <x:f>IF(B120="","",SUMIFS($D$14:$D$23,$C$14:$C$23,B120))</x:f>
        <x:v>0</x:v>
      </x:c>
      <x:c r="D120" s="37" t="n">
        <x:f>IF(B120="","",SUMIFS($E$14:$E$23,$C$14:$C$23,B120))</x:f>
        <x:v>0</x:v>
      </x:c>
      <x:c r="E120" s="37" t="n">
        <x:f>IF(B120="","",C120-D120)</x:f>
        <x:v>0</x:v>
      </x:c>
      <x:c r="F120" s="37" t="n">
        <x:f>IF(B120="","",F119+E120)</x:f>
        <x:v>-20000</x:v>
      </x:c>
      <x:c r="G120" s="37" t="n">
        <x:f>IF(OR(B120="",$I$6&lt;&gt;"Complete"),"",SUMIFS($D$32:$D$51,$C$32:$C$51,B120,$I$32:$I$51,"Ready"))</x:f>
        <x:v>0</x:v>
      </x:c>
      <x:c r="H120" s="37" t="n">
        <x:f>IF(OR(B120="",$I$6&lt;&gt;"Complete"),"",SUMIFS($E$32:$E$51,$C$32:$C$51,B120,$I$32:$I$51,"Ready"))</x:f>
        <x:v>0</x:v>
      </x:c>
      <x:c r="I120" s="37" t="n">
        <x:f>IF(OR(B120="",$I$6&lt;&gt;"Complete"),"",I119+E120+G120-H120)</x:f>
        <x:v>60000</x:v>
      </x:c>
      <x:c r="J120" s="37" t="n">
        <x:f>IF(OR(B120="",$I$6&lt;&gt;"Complete"),"",'Inputs'!$C$49)</x:f>
        <x:v>25000</x:v>
      </x:c>
      <x:c r="K120" s="37" t="n">
        <x:f>IF(OR(B120="",$I$6&lt;&gt;"Complete"),"",I120-J120)</x:f>
        <x:v>35000</x:v>
      </x:c>
      <x:c r="L120" s="61" t="n">
        <x:f>IF(OR(B120="",$I$6&lt;&gt;"Complete"),"",IF(K120&lt;0,1,0))</x:f>
        <x:v>0</x:v>
      </x:c>
    </x:row>
    <x:row r="121" ht="23" customHeight="1">
      <x:c r="A121" s="2"/>
      <x:c r="B121" s="60" t="n">
        <x:f>IF($D$6&lt;&gt;"Complete","",IF('Inputs'!$C$47+51&lt;=$D$9,'Inputs'!$C$47+51,""))</x:f>
        <x:v>46337</x:v>
      </x:c>
      <x:c r="C121" s="37" t="n">
        <x:f>IF(B121="","",SUMIFS($D$14:$D$23,$C$14:$C$23,B121))</x:f>
        <x:v>0</x:v>
      </x:c>
      <x:c r="D121" s="37" t="n">
        <x:f>IF(B121="","",SUMIFS($E$14:$E$23,$C$14:$C$23,B121))</x:f>
        <x:v>0</x:v>
      </x:c>
      <x:c r="E121" s="37" t="n">
        <x:f>IF(B121="","",C121-D121)</x:f>
        <x:v>0</x:v>
      </x:c>
      <x:c r="F121" s="37" t="n">
        <x:f>IF(B121="","",F120+E121)</x:f>
        <x:v>-20000</x:v>
      </x:c>
      <x:c r="G121" s="37" t="n">
        <x:f>IF(OR(B121="",$I$6&lt;&gt;"Complete"),"",SUMIFS($D$32:$D$51,$C$32:$C$51,B121,$I$32:$I$51,"Ready"))</x:f>
        <x:v>0</x:v>
      </x:c>
      <x:c r="H121" s="37" t="n">
        <x:f>IF(OR(B121="",$I$6&lt;&gt;"Complete"),"",SUMIFS($E$32:$E$51,$C$32:$C$51,B121,$I$32:$I$51,"Ready"))</x:f>
        <x:v>0</x:v>
      </x:c>
      <x:c r="I121" s="37" t="n">
        <x:f>IF(OR(B121="",$I$6&lt;&gt;"Complete"),"",I120+E121+G121-H121)</x:f>
        <x:v>60000</x:v>
      </x:c>
      <x:c r="J121" s="37" t="n">
        <x:f>IF(OR(B121="",$I$6&lt;&gt;"Complete"),"",'Inputs'!$C$49)</x:f>
        <x:v>25000</x:v>
      </x:c>
      <x:c r="K121" s="37" t="n">
        <x:f>IF(OR(B121="",$I$6&lt;&gt;"Complete"),"",I121-J121)</x:f>
        <x:v>35000</x:v>
      </x:c>
      <x:c r="L121" s="61" t="n">
        <x:f>IF(OR(B121="",$I$6&lt;&gt;"Complete"),"",IF(K121&lt;0,1,0))</x:f>
        <x:v>0</x:v>
      </x:c>
    </x:row>
    <x:row r="122" ht="23" customHeight="1">
      <x:c r="A122" s="2"/>
      <x:c r="B122" s="60" t="n">
        <x:f>IF($D$6&lt;&gt;"Complete","",IF('Inputs'!$C$47+52&lt;=$D$9,'Inputs'!$C$47+52,""))</x:f>
        <x:v>46338</x:v>
      </x:c>
      <x:c r="C122" s="37" t="n">
        <x:f>IF(B122="","",SUMIFS($D$14:$D$23,$C$14:$C$23,B122))</x:f>
        <x:v>0</x:v>
      </x:c>
      <x:c r="D122" s="37" t="n">
        <x:f>IF(B122="","",SUMIFS($E$14:$E$23,$C$14:$C$23,B122))</x:f>
        <x:v>0</x:v>
      </x:c>
      <x:c r="E122" s="37" t="n">
        <x:f>IF(B122="","",C122-D122)</x:f>
        <x:v>0</x:v>
      </x:c>
      <x:c r="F122" s="37" t="n">
        <x:f>IF(B122="","",F121+E122)</x:f>
        <x:v>-20000</x:v>
      </x:c>
      <x:c r="G122" s="37" t="n">
        <x:f>IF(OR(B122="",$I$6&lt;&gt;"Complete"),"",SUMIFS($D$32:$D$51,$C$32:$C$51,B122,$I$32:$I$51,"Ready"))</x:f>
        <x:v>0</x:v>
      </x:c>
      <x:c r="H122" s="37" t="n">
        <x:f>IF(OR(B122="",$I$6&lt;&gt;"Complete"),"",SUMIFS($E$32:$E$51,$C$32:$C$51,B122,$I$32:$I$51,"Ready"))</x:f>
        <x:v>0</x:v>
      </x:c>
      <x:c r="I122" s="37" t="n">
        <x:f>IF(OR(B122="",$I$6&lt;&gt;"Complete"),"",I121+E122+G122-H122)</x:f>
        <x:v>60000</x:v>
      </x:c>
      <x:c r="J122" s="37" t="n">
        <x:f>IF(OR(B122="",$I$6&lt;&gt;"Complete"),"",'Inputs'!$C$49)</x:f>
        <x:v>25000</x:v>
      </x:c>
      <x:c r="K122" s="37" t="n">
        <x:f>IF(OR(B122="",$I$6&lt;&gt;"Complete"),"",I122-J122)</x:f>
        <x:v>35000</x:v>
      </x:c>
      <x:c r="L122" s="61" t="n">
        <x:f>IF(OR(B122="",$I$6&lt;&gt;"Complete"),"",IF(K122&lt;0,1,0))</x:f>
        <x:v>0</x:v>
      </x:c>
    </x:row>
    <x:row r="123" ht="23" customHeight="1">
      <x:c r="A123" s="2"/>
      <x:c r="B123" s="60" t="n">
        <x:f>IF($D$6&lt;&gt;"Complete","",IF('Inputs'!$C$47+53&lt;=$D$9,'Inputs'!$C$47+53,""))</x:f>
        <x:v>46339</x:v>
      </x:c>
      <x:c r="C123" s="37" t="n">
        <x:f>IF(B123="","",SUMIFS($D$14:$D$23,$C$14:$C$23,B123))</x:f>
        <x:v>0</x:v>
      </x:c>
      <x:c r="D123" s="37" t="n">
        <x:f>IF(B123="","",SUMIFS($E$14:$E$23,$C$14:$C$23,B123))</x:f>
        <x:v>0</x:v>
      </x:c>
      <x:c r="E123" s="37" t="n">
        <x:f>IF(B123="","",C123-D123)</x:f>
        <x:v>0</x:v>
      </x:c>
      <x:c r="F123" s="37" t="n">
        <x:f>IF(B123="","",F122+E123)</x:f>
        <x:v>-20000</x:v>
      </x:c>
      <x:c r="G123" s="37" t="n">
        <x:f>IF(OR(B123="",$I$6&lt;&gt;"Complete"),"",SUMIFS($D$32:$D$51,$C$32:$C$51,B123,$I$32:$I$51,"Ready"))</x:f>
        <x:v>0</x:v>
      </x:c>
      <x:c r="H123" s="37" t="n">
        <x:f>IF(OR(B123="",$I$6&lt;&gt;"Complete"),"",SUMIFS($E$32:$E$51,$C$32:$C$51,B123,$I$32:$I$51,"Ready"))</x:f>
        <x:v>0</x:v>
      </x:c>
      <x:c r="I123" s="37" t="n">
        <x:f>IF(OR(B123="",$I$6&lt;&gt;"Complete"),"",I122+E123+G123-H123)</x:f>
        <x:v>60000</x:v>
      </x:c>
      <x:c r="J123" s="37" t="n">
        <x:f>IF(OR(B123="",$I$6&lt;&gt;"Complete"),"",'Inputs'!$C$49)</x:f>
        <x:v>25000</x:v>
      </x:c>
      <x:c r="K123" s="37" t="n">
        <x:f>IF(OR(B123="",$I$6&lt;&gt;"Complete"),"",I123-J123)</x:f>
        <x:v>35000</x:v>
      </x:c>
      <x:c r="L123" s="61" t="n">
        <x:f>IF(OR(B123="",$I$6&lt;&gt;"Complete"),"",IF(K123&lt;0,1,0))</x:f>
        <x:v>0</x:v>
      </x:c>
    </x:row>
    <x:row r="124" ht="23" customHeight="1">
      <x:c r="A124" s="2"/>
      <x:c r="B124" s="60" t="n">
        <x:f>IF($D$6&lt;&gt;"Complete","",IF('Inputs'!$C$47+54&lt;=$D$9,'Inputs'!$C$47+54,""))</x:f>
        <x:v>46340</x:v>
      </x:c>
      <x:c r="C124" s="37" t="n">
        <x:f>IF(B124="","",SUMIFS($D$14:$D$23,$C$14:$C$23,B124))</x:f>
        <x:v>0</x:v>
      </x:c>
      <x:c r="D124" s="37" t="n">
        <x:f>IF(B124="","",SUMIFS($E$14:$E$23,$C$14:$C$23,B124))</x:f>
        <x:v>0</x:v>
      </x:c>
      <x:c r="E124" s="37" t="n">
        <x:f>IF(B124="","",C124-D124)</x:f>
        <x:v>0</x:v>
      </x:c>
      <x:c r="F124" s="37" t="n">
        <x:f>IF(B124="","",F123+E124)</x:f>
        <x:v>-20000</x:v>
      </x:c>
      <x:c r="G124" s="37" t="n">
        <x:f>IF(OR(B124="",$I$6&lt;&gt;"Complete"),"",SUMIFS($D$32:$D$51,$C$32:$C$51,B124,$I$32:$I$51,"Ready"))</x:f>
        <x:v>0</x:v>
      </x:c>
      <x:c r="H124" s="37" t="n">
        <x:f>IF(OR(B124="",$I$6&lt;&gt;"Complete"),"",SUMIFS($E$32:$E$51,$C$32:$C$51,B124,$I$32:$I$51,"Ready"))</x:f>
        <x:v>0</x:v>
      </x:c>
      <x:c r="I124" s="37" t="n">
        <x:f>IF(OR(B124="",$I$6&lt;&gt;"Complete"),"",I123+E124+G124-H124)</x:f>
        <x:v>60000</x:v>
      </x:c>
      <x:c r="J124" s="37" t="n">
        <x:f>IF(OR(B124="",$I$6&lt;&gt;"Complete"),"",'Inputs'!$C$49)</x:f>
        <x:v>25000</x:v>
      </x:c>
      <x:c r="K124" s="37" t="n">
        <x:f>IF(OR(B124="",$I$6&lt;&gt;"Complete"),"",I124-J124)</x:f>
        <x:v>35000</x:v>
      </x:c>
      <x:c r="L124" s="61" t="n">
        <x:f>IF(OR(B124="",$I$6&lt;&gt;"Complete"),"",IF(K124&lt;0,1,0))</x:f>
        <x:v>0</x:v>
      </x:c>
    </x:row>
    <x:row r="125" ht="23" customHeight="1">
      <x:c r="A125" s="2"/>
      <x:c r="B125" s="60" t="n">
        <x:f>IF($D$6&lt;&gt;"Complete","",IF('Inputs'!$C$47+55&lt;=$D$9,'Inputs'!$C$47+55,""))</x:f>
        <x:v>46341</x:v>
      </x:c>
      <x:c r="C125" s="37" t="n">
        <x:f>IF(B125="","",SUMIFS($D$14:$D$23,$C$14:$C$23,B125))</x:f>
        <x:v>0</x:v>
      </x:c>
      <x:c r="D125" s="37" t="n">
        <x:f>IF(B125="","",SUMIFS($E$14:$E$23,$C$14:$C$23,B125))</x:f>
        <x:v>0</x:v>
      </x:c>
      <x:c r="E125" s="37" t="n">
        <x:f>IF(B125="","",C125-D125)</x:f>
        <x:v>0</x:v>
      </x:c>
      <x:c r="F125" s="37" t="n">
        <x:f>IF(B125="","",F124+E125)</x:f>
        <x:v>-20000</x:v>
      </x:c>
      <x:c r="G125" s="37" t="n">
        <x:f>IF(OR(B125="",$I$6&lt;&gt;"Complete"),"",SUMIFS($D$32:$D$51,$C$32:$C$51,B125,$I$32:$I$51,"Ready"))</x:f>
        <x:v>0</x:v>
      </x:c>
      <x:c r="H125" s="37" t="n">
        <x:f>IF(OR(B125="",$I$6&lt;&gt;"Complete"),"",SUMIFS($E$32:$E$51,$C$32:$C$51,B125,$I$32:$I$51,"Ready"))</x:f>
        <x:v>0</x:v>
      </x:c>
      <x:c r="I125" s="37" t="n">
        <x:f>IF(OR(B125="",$I$6&lt;&gt;"Complete"),"",I124+E125+G125-H125)</x:f>
        <x:v>60000</x:v>
      </x:c>
      <x:c r="J125" s="37" t="n">
        <x:f>IF(OR(B125="",$I$6&lt;&gt;"Complete"),"",'Inputs'!$C$49)</x:f>
        <x:v>25000</x:v>
      </x:c>
      <x:c r="K125" s="37" t="n">
        <x:f>IF(OR(B125="",$I$6&lt;&gt;"Complete"),"",I125-J125)</x:f>
        <x:v>35000</x:v>
      </x:c>
      <x:c r="L125" s="61" t="n">
        <x:f>IF(OR(B125="",$I$6&lt;&gt;"Complete"),"",IF(K125&lt;0,1,0))</x:f>
        <x:v>0</x:v>
      </x:c>
    </x:row>
    <x:row r="126" ht="23" customHeight="1">
      <x:c r="A126" s="2"/>
      <x:c r="B126" s="60" t="n">
        <x:f>IF($D$6&lt;&gt;"Complete","",IF('Inputs'!$C$47+56&lt;=$D$9,'Inputs'!$C$47+56,""))</x:f>
        <x:v>46342</x:v>
      </x:c>
      <x:c r="C126" s="37" t="n">
        <x:f>IF(B126="","",SUMIFS($D$14:$D$23,$C$14:$C$23,B126))</x:f>
        <x:v>0</x:v>
      </x:c>
      <x:c r="D126" s="37" t="n">
        <x:f>IF(B126="","",SUMIFS($E$14:$E$23,$C$14:$C$23,B126))</x:f>
        <x:v>0</x:v>
      </x:c>
      <x:c r="E126" s="37" t="n">
        <x:f>IF(B126="","",C126-D126)</x:f>
        <x:v>0</x:v>
      </x:c>
      <x:c r="F126" s="37" t="n">
        <x:f>IF(B126="","",F125+E126)</x:f>
        <x:v>-20000</x:v>
      </x:c>
      <x:c r="G126" s="37" t="n">
        <x:f>IF(OR(B126="",$I$6&lt;&gt;"Complete"),"",SUMIFS($D$32:$D$51,$C$32:$C$51,B126,$I$32:$I$51,"Ready"))</x:f>
        <x:v>0</x:v>
      </x:c>
      <x:c r="H126" s="37" t="n">
        <x:f>IF(OR(B126="",$I$6&lt;&gt;"Complete"),"",SUMIFS($E$32:$E$51,$C$32:$C$51,B126,$I$32:$I$51,"Ready"))</x:f>
        <x:v>0</x:v>
      </x:c>
      <x:c r="I126" s="37" t="n">
        <x:f>IF(OR(B126="",$I$6&lt;&gt;"Complete"),"",I125+E126+G126-H126)</x:f>
        <x:v>60000</x:v>
      </x:c>
      <x:c r="J126" s="37" t="n">
        <x:f>IF(OR(B126="",$I$6&lt;&gt;"Complete"),"",'Inputs'!$C$49)</x:f>
        <x:v>25000</x:v>
      </x:c>
      <x:c r="K126" s="37" t="n">
        <x:f>IF(OR(B126="",$I$6&lt;&gt;"Complete"),"",I126-J126)</x:f>
        <x:v>35000</x:v>
      </x:c>
      <x:c r="L126" s="61" t="n">
        <x:f>IF(OR(B126="",$I$6&lt;&gt;"Complete"),"",IF(K126&lt;0,1,0))</x:f>
        <x:v>0</x:v>
      </x:c>
    </x:row>
    <x:row r="127" ht="23" customHeight="1">
      <x:c r="A127" s="2"/>
      <x:c r="B127" s="60" t="n">
        <x:f>IF($D$6&lt;&gt;"Complete","",IF('Inputs'!$C$47+57&lt;=$D$9,'Inputs'!$C$47+57,""))</x:f>
        <x:v>46343</x:v>
      </x:c>
      <x:c r="C127" s="37" t="n">
        <x:f>IF(B127="","",SUMIFS($D$14:$D$23,$C$14:$C$23,B127))</x:f>
        <x:v>0</x:v>
      </x:c>
      <x:c r="D127" s="37" t="n">
        <x:f>IF(B127="","",SUMIFS($E$14:$E$23,$C$14:$C$23,B127))</x:f>
        <x:v>0</x:v>
      </x:c>
      <x:c r="E127" s="37" t="n">
        <x:f>IF(B127="","",C127-D127)</x:f>
        <x:v>0</x:v>
      </x:c>
      <x:c r="F127" s="37" t="n">
        <x:f>IF(B127="","",F126+E127)</x:f>
        <x:v>-20000</x:v>
      </x:c>
      <x:c r="G127" s="37" t="n">
        <x:f>IF(OR(B127="",$I$6&lt;&gt;"Complete"),"",SUMIFS($D$32:$D$51,$C$32:$C$51,B127,$I$32:$I$51,"Ready"))</x:f>
        <x:v>0</x:v>
      </x:c>
      <x:c r="H127" s="37" t="n">
        <x:f>IF(OR(B127="",$I$6&lt;&gt;"Complete"),"",SUMIFS($E$32:$E$51,$C$32:$C$51,B127,$I$32:$I$51,"Ready"))</x:f>
        <x:v>0</x:v>
      </x:c>
      <x:c r="I127" s="37" t="n">
        <x:f>IF(OR(B127="",$I$6&lt;&gt;"Complete"),"",I126+E127+G127-H127)</x:f>
        <x:v>60000</x:v>
      </x:c>
      <x:c r="J127" s="37" t="n">
        <x:f>IF(OR(B127="",$I$6&lt;&gt;"Complete"),"",'Inputs'!$C$49)</x:f>
        <x:v>25000</x:v>
      </x:c>
      <x:c r="K127" s="37" t="n">
        <x:f>IF(OR(B127="",$I$6&lt;&gt;"Complete"),"",I127-J127)</x:f>
        <x:v>35000</x:v>
      </x:c>
      <x:c r="L127" s="61" t="n">
        <x:f>IF(OR(B127="",$I$6&lt;&gt;"Complete"),"",IF(K127&lt;0,1,0))</x:f>
        <x:v>0</x:v>
      </x:c>
    </x:row>
    <x:row r="128" ht="23" customHeight="1">
      <x:c r="A128" s="2"/>
      <x:c r="B128" s="60" t="n">
        <x:f>IF($D$6&lt;&gt;"Complete","",IF('Inputs'!$C$47+58&lt;=$D$9,'Inputs'!$C$47+58,""))</x:f>
        <x:v>46344</x:v>
      </x:c>
      <x:c r="C128" s="37" t="n">
        <x:f>IF(B128="","",SUMIFS($D$14:$D$23,$C$14:$C$23,B128))</x:f>
        <x:v>0</x:v>
      </x:c>
      <x:c r="D128" s="37" t="n">
        <x:f>IF(B128="","",SUMIFS($E$14:$E$23,$C$14:$C$23,B128))</x:f>
        <x:v>0</x:v>
      </x:c>
      <x:c r="E128" s="37" t="n">
        <x:f>IF(B128="","",C128-D128)</x:f>
        <x:v>0</x:v>
      </x:c>
      <x:c r="F128" s="37" t="n">
        <x:f>IF(B128="","",F127+E128)</x:f>
        <x:v>-20000</x:v>
      </x:c>
      <x:c r="G128" s="37" t="n">
        <x:f>IF(OR(B128="",$I$6&lt;&gt;"Complete"),"",SUMIFS($D$32:$D$51,$C$32:$C$51,B128,$I$32:$I$51,"Ready"))</x:f>
        <x:v>0</x:v>
      </x:c>
      <x:c r="H128" s="37" t="n">
        <x:f>IF(OR(B128="",$I$6&lt;&gt;"Complete"),"",SUMIFS($E$32:$E$51,$C$32:$C$51,B128,$I$32:$I$51,"Ready"))</x:f>
        <x:v>0</x:v>
      </x:c>
      <x:c r="I128" s="37" t="n">
        <x:f>IF(OR(B128="",$I$6&lt;&gt;"Complete"),"",I127+E128+G128-H128)</x:f>
        <x:v>60000</x:v>
      </x:c>
      <x:c r="J128" s="37" t="n">
        <x:f>IF(OR(B128="",$I$6&lt;&gt;"Complete"),"",'Inputs'!$C$49)</x:f>
        <x:v>25000</x:v>
      </x:c>
      <x:c r="K128" s="37" t="n">
        <x:f>IF(OR(B128="",$I$6&lt;&gt;"Complete"),"",I128-J128)</x:f>
        <x:v>35000</x:v>
      </x:c>
      <x:c r="L128" s="61" t="n">
        <x:f>IF(OR(B128="",$I$6&lt;&gt;"Complete"),"",IF(K128&lt;0,1,0))</x:f>
        <x:v>0</x:v>
      </x:c>
    </x:row>
    <x:row r="129" ht="23" customHeight="1">
      <x:c r="A129" s="2"/>
      <x:c r="B129" s="60" t="n">
        <x:f>IF($D$6&lt;&gt;"Complete","",IF('Inputs'!$C$47+59&lt;=$D$9,'Inputs'!$C$47+59,""))</x:f>
        <x:v>46345</x:v>
      </x:c>
      <x:c r="C129" s="37" t="n">
        <x:f>IF(B129="","",SUMIFS($D$14:$D$23,$C$14:$C$23,B129))</x:f>
        <x:v>0</x:v>
      </x:c>
      <x:c r="D129" s="37" t="n">
        <x:f>IF(B129="","",SUMIFS($E$14:$E$23,$C$14:$C$23,B129))</x:f>
        <x:v>0</x:v>
      </x:c>
      <x:c r="E129" s="37" t="n">
        <x:f>IF(B129="","",C129-D129)</x:f>
        <x:v>0</x:v>
      </x:c>
      <x:c r="F129" s="37" t="n">
        <x:f>IF(B129="","",F128+E129)</x:f>
        <x:v>-20000</x:v>
      </x:c>
      <x:c r="G129" s="37" t="n">
        <x:f>IF(OR(B129="",$I$6&lt;&gt;"Complete"),"",SUMIFS($D$32:$D$51,$C$32:$C$51,B129,$I$32:$I$51,"Ready"))</x:f>
        <x:v>0</x:v>
      </x:c>
      <x:c r="H129" s="37" t="n">
        <x:f>IF(OR(B129="",$I$6&lt;&gt;"Complete"),"",SUMIFS($E$32:$E$51,$C$32:$C$51,B129,$I$32:$I$51,"Ready"))</x:f>
        <x:v>0</x:v>
      </x:c>
      <x:c r="I129" s="37" t="n">
        <x:f>IF(OR(B129="",$I$6&lt;&gt;"Complete"),"",I128+E129+G129-H129)</x:f>
        <x:v>60000</x:v>
      </x:c>
      <x:c r="J129" s="37" t="n">
        <x:f>IF(OR(B129="",$I$6&lt;&gt;"Complete"),"",'Inputs'!$C$49)</x:f>
        <x:v>25000</x:v>
      </x:c>
      <x:c r="K129" s="37" t="n">
        <x:f>IF(OR(B129="",$I$6&lt;&gt;"Complete"),"",I129-J129)</x:f>
        <x:v>35000</x:v>
      </x:c>
      <x:c r="L129" s="61" t="n">
        <x:f>IF(OR(B129="",$I$6&lt;&gt;"Complete"),"",IF(K129&lt;0,1,0))</x:f>
        <x:v>0</x:v>
      </x:c>
    </x:row>
    <x:row r="130" ht="23" customHeight="1">
      <x:c r="A130" s="2"/>
      <x:c r="B130" s="60" t="n">
        <x:f>IF($D$6&lt;&gt;"Complete","",IF('Inputs'!$C$47+60&lt;=$D$9,'Inputs'!$C$47+60,""))</x:f>
        <x:v>46346</x:v>
      </x:c>
      <x:c r="C130" s="37" t="n">
        <x:f>IF(B130="","",SUMIFS($D$14:$D$23,$C$14:$C$23,B130))</x:f>
        <x:v>0</x:v>
      </x:c>
      <x:c r="D130" s="37" t="n">
        <x:f>IF(B130="","",SUMIFS($E$14:$E$23,$C$14:$C$23,B130))</x:f>
        <x:v>3000</x:v>
      </x:c>
      <x:c r="E130" s="37" t="n">
        <x:f>IF(B130="","",C130-D130)</x:f>
        <x:v>-3000</x:v>
      </x:c>
      <x:c r="F130" s="37" t="n">
        <x:f>IF(B130="","",F129+E130)</x:f>
        <x:v>-23000</x:v>
      </x:c>
      <x:c r="G130" s="37" t="n">
        <x:f>IF(OR(B130="",$I$6&lt;&gt;"Complete"),"",SUMIFS($D$32:$D$51,$C$32:$C$51,B130,$I$32:$I$51,"Ready"))</x:f>
        <x:v>0</x:v>
      </x:c>
      <x:c r="H130" s="37" t="n">
        <x:f>IF(OR(B130="",$I$6&lt;&gt;"Complete"),"",SUMIFS($E$32:$E$51,$C$32:$C$51,B130,$I$32:$I$51,"Ready"))</x:f>
        <x:v>0</x:v>
      </x:c>
      <x:c r="I130" s="37" t="n">
        <x:f>IF(OR(B130="",$I$6&lt;&gt;"Complete"),"",I129+E130+G130-H130)</x:f>
        <x:v>57000</x:v>
      </x:c>
      <x:c r="J130" s="37" t="n">
        <x:f>IF(OR(B130="",$I$6&lt;&gt;"Complete"),"",'Inputs'!$C$49)</x:f>
        <x:v>25000</x:v>
      </x:c>
      <x:c r="K130" s="37" t="n">
        <x:f>IF(OR(B130="",$I$6&lt;&gt;"Complete"),"",I130-J130)</x:f>
        <x:v>32000</x:v>
      </x:c>
      <x:c r="L130" s="61" t="n">
        <x:f>IF(OR(B130="",$I$6&lt;&gt;"Complete"),"",IF(K130&lt;0,1,0))</x:f>
        <x:v>0</x:v>
      </x:c>
    </x:row>
    <x:row r="131" ht="23" customHeight="1">
      <x:c r="A131" s="2"/>
      <x:c r="B131" s="60" t="n">
        <x:f>IF($D$6&lt;&gt;"Complete","",IF('Inputs'!$C$47+61&lt;=$D$9,'Inputs'!$C$47+61,""))</x:f>
        <x:v>46347</x:v>
      </x:c>
      <x:c r="C131" s="37" t="n">
        <x:f>IF(B131="","",SUMIFS($D$14:$D$23,$C$14:$C$23,B131))</x:f>
        <x:v>0</x:v>
      </x:c>
      <x:c r="D131" s="37" t="n">
        <x:f>IF(B131="","",SUMIFS($E$14:$E$23,$C$14:$C$23,B131))</x:f>
        <x:v>0</x:v>
      </x:c>
      <x:c r="E131" s="37" t="n">
        <x:f>IF(B131="","",C131-D131)</x:f>
        <x:v>0</x:v>
      </x:c>
      <x:c r="F131" s="37" t="n">
        <x:f>IF(B131="","",F130+E131)</x:f>
        <x:v>-23000</x:v>
      </x:c>
      <x:c r="G131" s="37" t="n">
        <x:f>IF(OR(B131="",$I$6&lt;&gt;"Complete"),"",SUMIFS($D$32:$D$51,$C$32:$C$51,B131,$I$32:$I$51,"Ready"))</x:f>
        <x:v>0</x:v>
      </x:c>
      <x:c r="H131" s="37" t="n">
        <x:f>IF(OR(B131="",$I$6&lt;&gt;"Complete"),"",SUMIFS($E$32:$E$51,$C$32:$C$51,B131,$I$32:$I$51,"Ready"))</x:f>
        <x:v>0</x:v>
      </x:c>
      <x:c r="I131" s="37" t="n">
        <x:f>IF(OR(B131="",$I$6&lt;&gt;"Complete"),"",I130+E131+G131-H131)</x:f>
        <x:v>57000</x:v>
      </x:c>
      <x:c r="J131" s="37" t="n">
        <x:f>IF(OR(B131="",$I$6&lt;&gt;"Complete"),"",'Inputs'!$C$49)</x:f>
        <x:v>25000</x:v>
      </x:c>
      <x:c r="K131" s="37" t="n">
        <x:f>IF(OR(B131="",$I$6&lt;&gt;"Complete"),"",I131-J131)</x:f>
        <x:v>32000</x:v>
      </x:c>
      <x:c r="L131" s="61" t="n">
        <x:f>IF(OR(B131="",$I$6&lt;&gt;"Complete"),"",IF(K131&lt;0,1,0))</x:f>
        <x:v>0</x:v>
      </x:c>
    </x:row>
    <x:row r="132" ht="23" customHeight="1">
      <x:c r="A132" s="2"/>
      <x:c r="B132" s="60" t="n">
        <x:f>IF($D$6&lt;&gt;"Complete","",IF('Inputs'!$C$47+62&lt;=$D$9,'Inputs'!$C$47+62,""))</x:f>
        <x:v>46348</x:v>
      </x:c>
      <x:c r="C132" s="37" t="n">
        <x:f>IF(B132="","",SUMIFS($D$14:$D$23,$C$14:$C$23,B132))</x:f>
        <x:v>0</x:v>
      </x:c>
      <x:c r="D132" s="37" t="n">
        <x:f>IF(B132="","",SUMIFS($E$14:$E$23,$C$14:$C$23,B132))</x:f>
        <x:v>0</x:v>
      </x:c>
      <x:c r="E132" s="37" t="n">
        <x:f>IF(B132="","",C132-D132)</x:f>
        <x:v>0</x:v>
      </x:c>
      <x:c r="F132" s="37" t="n">
        <x:f>IF(B132="","",F131+E132)</x:f>
        <x:v>-23000</x:v>
      </x:c>
      <x:c r="G132" s="37" t="n">
        <x:f>IF(OR(B132="",$I$6&lt;&gt;"Complete"),"",SUMIFS($D$32:$D$51,$C$32:$C$51,B132,$I$32:$I$51,"Ready"))</x:f>
        <x:v>0</x:v>
      </x:c>
      <x:c r="H132" s="37" t="n">
        <x:f>IF(OR(B132="",$I$6&lt;&gt;"Complete"),"",SUMIFS($E$32:$E$51,$C$32:$C$51,B132,$I$32:$I$51,"Ready"))</x:f>
        <x:v>0</x:v>
      </x:c>
      <x:c r="I132" s="37" t="n">
        <x:f>IF(OR(B132="",$I$6&lt;&gt;"Complete"),"",I131+E132+G132-H132)</x:f>
        <x:v>57000</x:v>
      </x:c>
      <x:c r="J132" s="37" t="n">
        <x:f>IF(OR(B132="",$I$6&lt;&gt;"Complete"),"",'Inputs'!$C$49)</x:f>
        <x:v>25000</x:v>
      </x:c>
      <x:c r="K132" s="37" t="n">
        <x:f>IF(OR(B132="",$I$6&lt;&gt;"Complete"),"",I132-J132)</x:f>
        <x:v>32000</x:v>
      </x:c>
      <x:c r="L132" s="61" t="n">
        <x:f>IF(OR(B132="",$I$6&lt;&gt;"Complete"),"",IF(K132&lt;0,1,0))</x:f>
        <x:v>0</x:v>
      </x:c>
    </x:row>
    <x:row r="133" ht="23" customHeight="1">
      <x:c r="A133" s="2"/>
      <x:c r="B133" s="60" t="n">
        <x:f>IF($D$6&lt;&gt;"Complete","",IF('Inputs'!$C$47+63&lt;=$D$9,'Inputs'!$C$47+63,""))</x:f>
        <x:v>46349</x:v>
      </x:c>
      <x:c r="C133" s="37" t="n">
        <x:f>IF(B133="","",SUMIFS($D$14:$D$23,$C$14:$C$23,B133))</x:f>
        <x:v>0</x:v>
      </x:c>
      <x:c r="D133" s="37" t="n">
        <x:f>IF(B133="","",SUMIFS($E$14:$E$23,$C$14:$C$23,B133))</x:f>
        <x:v>0</x:v>
      </x:c>
      <x:c r="E133" s="37" t="n">
        <x:f>IF(B133="","",C133-D133)</x:f>
        <x:v>0</x:v>
      </x:c>
      <x:c r="F133" s="37" t="n">
        <x:f>IF(B133="","",F132+E133)</x:f>
        <x:v>-23000</x:v>
      </x:c>
      <x:c r="G133" s="37" t="n">
        <x:f>IF(OR(B133="",$I$6&lt;&gt;"Complete"),"",SUMIFS($D$32:$D$51,$C$32:$C$51,B133,$I$32:$I$51,"Ready"))</x:f>
        <x:v>0</x:v>
      </x:c>
      <x:c r="H133" s="37" t="n">
        <x:f>IF(OR(B133="",$I$6&lt;&gt;"Complete"),"",SUMIFS($E$32:$E$51,$C$32:$C$51,B133,$I$32:$I$51,"Ready"))</x:f>
        <x:v>0</x:v>
      </x:c>
      <x:c r="I133" s="37" t="n">
        <x:f>IF(OR(B133="",$I$6&lt;&gt;"Complete"),"",I132+E133+G133-H133)</x:f>
        <x:v>57000</x:v>
      </x:c>
      <x:c r="J133" s="37" t="n">
        <x:f>IF(OR(B133="",$I$6&lt;&gt;"Complete"),"",'Inputs'!$C$49)</x:f>
        <x:v>25000</x:v>
      </x:c>
      <x:c r="K133" s="37" t="n">
        <x:f>IF(OR(B133="",$I$6&lt;&gt;"Complete"),"",I133-J133)</x:f>
        <x:v>32000</x:v>
      </x:c>
      <x:c r="L133" s="61" t="n">
        <x:f>IF(OR(B133="",$I$6&lt;&gt;"Complete"),"",IF(K133&lt;0,1,0))</x:f>
        <x:v>0</x:v>
      </x:c>
    </x:row>
    <x:row r="134" ht="23" customHeight="1">
      <x:c r="A134" s="2"/>
      <x:c r="B134" s="60" t="n">
        <x:f>IF($D$6&lt;&gt;"Complete","",IF('Inputs'!$C$47+64&lt;=$D$9,'Inputs'!$C$47+64,""))</x:f>
        <x:v>46350</x:v>
      </x:c>
      <x:c r="C134" s="37" t="n">
        <x:f>IF(B134="","",SUMIFS($D$14:$D$23,$C$14:$C$23,B134))</x:f>
        <x:v>0</x:v>
      </x:c>
      <x:c r="D134" s="37" t="n">
        <x:f>IF(B134="","",SUMIFS($E$14:$E$23,$C$14:$C$23,B134))</x:f>
        <x:v>0</x:v>
      </x:c>
      <x:c r="E134" s="37" t="n">
        <x:f>IF(B134="","",C134-D134)</x:f>
        <x:v>0</x:v>
      </x:c>
      <x:c r="F134" s="37" t="n">
        <x:f>IF(B134="","",F133+E134)</x:f>
        <x:v>-23000</x:v>
      </x:c>
      <x:c r="G134" s="37" t="n">
        <x:f>IF(OR(B134="",$I$6&lt;&gt;"Complete"),"",SUMIFS($D$32:$D$51,$C$32:$C$51,B134,$I$32:$I$51,"Ready"))</x:f>
        <x:v>0</x:v>
      </x:c>
      <x:c r="H134" s="37" t="n">
        <x:f>IF(OR(B134="",$I$6&lt;&gt;"Complete"),"",SUMIFS($E$32:$E$51,$C$32:$C$51,B134,$I$32:$I$51,"Ready"))</x:f>
        <x:v>0</x:v>
      </x:c>
      <x:c r="I134" s="37" t="n">
        <x:f>IF(OR(B134="",$I$6&lt;&gt;"Complete"),"",I133+E134+G134-H134)</x:f>
        <x:v>57000</x:v>
      </x:c>
      <x:c r="J134" s="37" t="n">
        <x:f>IF(OR(B134="",$I$6&lt;&gt;"Complete"),"",'Inputs'!$C$49)</x:f>
        <x:v>25000</x:v>
      </x:c>
      <x:c r="K134" s="37" t="n">
        <x:f>IF(OR(B134="",$I$6&lt;&gt;"Complete"),"",I134-J134)</x:f>
        <x:v>32000</x:v>
      </x:c>
      <x:c r="L134" s="61" t="n">
        <x:f>IF(OR(B134="",$I$6&lt;&gt;"Complete"),"",IF(K134&lt;0,1,0))</x:f>
        <x:v>0</x:v>
      </x:c>
    </x:row>
    <x:row r="135" ht="23" customHeight="1">
      <x:c r="A135" s="2"/>
      <x:c r="B135" s="60" t="n">
        <x:f>IF($D$6&lt;&gt;"Complete","",IF('Inputs'!$C$47+65&lt;=$D$9,'Inputs'!$C$47+65,""))</x:f>
        <x:v>46351</x:v>
      </x:c>
      <x:c r="C135" s="37" t="n">
        <x:f>IF(B135="","",SUMIFS($D$14:$D$23,$C$14:$C$23,B135))</x:f>
        <x:v>0</x:v>
      </x:c>
      <x:c r="D135" s="37" t="n">
        <x:f>IF(B135="","",SUMIFS($E$14:$E$23,$C$14:$C$23,B135))</x:f>
        <x:v>0</x:v>
      </x:c>
      <x:c r="E135" s="37" t="n">
        <x:f>IF(B135="","",C135-D135)</x:f>
        <x:v>0</x:v>
      </x:c>
      <x:c r="F135" s="37" t="n">
        <x:f>IF(B135="","",F134+E135)</x:f>
        <x:v>-23000</x:v>
      </x:c>
      <x:c r="G135" s="37" t="n">
        <x:f>IF(OR(B135="",$I$6&lt;&gt;"Complete"),"",SUMIFS($D$32:$D$51,$C$32:$C$51,B135,$I$32:$I$51,"Ready"))</x:f>
        <x:v>0</x:v>
      </x:c>
      <x:c r="H135" s="37" t="n">
        <x:f>IF(OR(B135="",$I$6&lt;&gt;"Complete"),"",SUMIFS($E$32:$E$51,$C$32:$C$51,B135,$I$32:$I$51,"Ready"))</x:f>
        <x:v>0</x:v>
      </x:c>
      <x:c r="I135" s="37" t="n">
        <x:f>IF(OR(B135="",$I$6&lt;&gt;"Complete"),"",I134+E135+G135-H135)</x:f>
        <x:v>57000</x:v>
      </x:c>
      <x:c r="J135" s="37" t="n">
        <x:f>IF(OR(B135="",$I$6&lt;&gt;"Complete"),"",'Inputs'!$C$49)</x:f>
        <x:v>25000</x:v>
      </x:c>
      <x:c r="K135" s="37" t="n">
        <x:f>IF(OR(B135="",$I$6&lt;&gt;"Complete"),"",I135-J135)</x:f>
        <x:v>32000</x:v>
      </x:c>
      <x:c r="L135" s="61" t="n">
        <x:f>IF(OR(B135="",$I$6&lt;&gt;"Complete"),"",IF(K135&lt;0,1,0))</x:f>
        <x:v>0</x:v>
      </x:c>
    </x:row>
    <x:row r="136" ht="23" customHeight="1">
      <x:c r="A136" s="2"/>
      <x:c r="B136" s="60" t="n">
        <x:f>IF($D$6&lt;&gt;"Complete","",IF('Inputs'!$C$47+66&lt;=$D$9,'Inputs'!$C$47+66,""))</x:f>
        <x:v>46352</x:v>
      </x:c>
      <x:c r="C136" s="37" t="n">
        <x:f>IF(B136="","",SUMIFS($D$14:$D$23,$C$14:$C$23,B136))</x:f>
        <x:v>0</x:v>
      </x:c>
      <x:c r="D136" s="37" t="n">
        <x:f>IF(B136="","",SUMIFS($E$14:$E$23,$C$14:$C$23,B136))</x:f>
        <x:v>0</x:v>
      </x:c>
      <x:c r="E136" s="37" t="n">
        <x:f>IF(B136="","",C136-D136)</x:f>
        <x:v>0</x:v>
      </x:c>
      <x:c r="F136" s="37" t="n">
        <x:f>IF(B136="","",F135+E136)</x:f>
        <x:v>-23000</x:v>
      </x:c>
      <x:c r="G136" s="37" t="n">
        <x:f>IF(OR(B136="",$I$6&lt;&gt;"Complete"),"",SUMIFS($D$32:$D$51,$C$32:$C$51,B136,$I$32:$I$51,"Ready"))</x:f>
        <x:v>0</x:v>
      </x:c>
      <x:c r="H136" s="37" t="n">
        <x:f>IF(OR(B136="",$I$6&lt;&gt;"Complete"),"",SUMIFS($E$32:$E$51,$C$32:$C$51,B136,$I$32:$I$51,"Ready"))</x:f>
        <x:v>0</x:v>
      </x:c>
      <x:c r="I136" s="37" t="n">
        <x:f>IF(OR(B136="",$I$6&lt;&gt;"Complete"),"",I135+E136+G136-H136)</x:f>
        <x:v>57000</x:v>
      </x:c>
      <x:c r="J136" s="37" t="n">
        <x:f>IF(OR(B136="",$I$6&lt;&gt;"Complete"),"",'Inputs'!$C$49)</x:f>
        <x:v>25000</x:v>
      </x:c>
      <x:c r="K136" s="37" t="n">
        <x:f>IF(OR(B136="",$I$6&lt;&gt;"Complete"),"",I136-J136)</x:f>
        <x:v>32000</x:v>
      </x:c>
      <x:c r="L136" s="61" t="n">
        <x:f>IF(OR(B136="",$I$6&lt;&gt;"Complete"),"",IF(K136&lt;0,1,0))</x:f>
        <x:v>0</x:v>
      </x:c>
    </x:row>
    <x:row r="137" ht="23" customHeight="1">
      <x:c r="A137" s="2"/>
      <x:c r="B137" s="60" t="n">
        <x:f>IF($D$6&lt;&gt;"Complete","",IF('Inputs'!$C$47+67&lt;=$D$9,'Inputs'!$C$47+67,""))</x:f>
        <x:v>46353</x:v>
      </x:c>
      <x:c r="C137" s="37" t="n">
        <x:f>IF(B137="","",SUMIFS($D$14:$D$23,$C$14:$C$23,B137))</x:f>
        <x:v>0</x:v>
      </x:c>
      <x:c r="D137" s="37" t="n">
        <x:f>IF(B137="","",SUMIFS($E$14:$E$23,$C$14:$C$23,B137))</x:f>
        <x:v>0</x:v>
      </x:c>
      <x:c r="E137" s="37" t="n">
        <x:f>IF(B137="","",C137-D137)</x:f>
        <x:v>0</x:v>
      </x:c>
      <x:c r="F137" s="37" t="n">
        <x:f>IF(B137="","",F136+E137)</x:f>
        <x:v>-23000</x:v>
      </x:c>
      <x:c r="G137" s="37" t="n">
        <x:f>IF(OR(B137="",$I$6&lt;&gt;"Complete"),"",SUMIFS($D$32:$D$51,$C$32:$C$51,B137,$I$32:$I$51,"Ready"))</x:f>
        <x:v>0</x:v>
      </x:c>
      <x:c r="H137" s="37" t="n">
        <x:f>IF(OR(B137="",$I$6&lt;&gt;"Complete"),"",SUMIFS($E$32:$E$51,$C$32:$C$51,B137,$I$32:$I$51,"Ready"))</x:f>
        <x:v>0</x:v>
      </x:c>
      <x:c r="I137" s="37" t="n">
        <x:f>IF(OR(B137="",$I$6&lt;&gt;"Complete"),"",I136+E137+G137-H137)</x:f>
        <x:v>57000</x:v>
      </x:c>
      <x:c r="J137" s="37" t="n">
        <x:f>IF(OR(B137="",$I$6&lt;&gt;"Complete"),"",'Inputs'!$C$49)</x:f>
        <x:v>25000</x:v>
      </x:c>
      <x:c r="K137" s="37" t="n">
        <x:f>IF(OR(B137="",$I$6&lt;&gt;"Complete"),"",I137-J137)</x:f>
        <x:v>32000</x:v>
      </x:c>
      <x:c r="L137" s="61" t="n">
        <x:f>IF(OR(B137="",$I$6&lt;&gt;"Complete"),"",IF(K137&lt;0,1,0))</x:f>
        <x:v>0</x:v>
      </x:c>
    </x:row>
    <x:row r="138" ht="23" customHeight="1">
      <x:c r="A138" s="2"/>
      <x:c r="B138" s="60" t="n">
        <x:f>IF($D$6&lt;&gt;"Complete","",IF('Inputs'!$C$47+68&lt;=$D$9,'Inputs'!$C$47+68,""))</x:f>
        <x:v>46354</x:v>
      </x:c>
      <x:c r="C138" s="37" t="n">
        <x:f>IF(B138="","",SUMIFS($D$14:$D$23,$C$14:$C$23,B138))</x:f>
        <x:v>0</x:v>
      </x:c>
      <x:c r="D138" s="37" t="n">
        <x:f>IF(B138="","",SUMIFS($E$14:$E$23,$C$14:$C$23,B138))</x:f>
        <x:v>0</x:v>
      </x:c>
      <x:c r="E138" s="37" t="n">
        <x:f>IF(B138="","",C138-D138)</x:f>
        <x:v>0</x:v>
      </x:c>
      <x:c r="F138" s="37" t="n">
        <x:f>IF(B138="","",F137+E138)</x:f>
        <x:v>-23000</x:v>
      </x:c>
      <x:c r="G138" s="37" t="n">
        <x:f>IF(OR(B138="",$I$6&lt;&gt;"Complete"),"",SUMIFS($D$32:$D$51,$C$32:$C$51,B138,$I$32:$I$51,"Ready"))</x:f>
        <x:v>0</x:v>
      </x:c>
      <x:c r="H138" s="37" t="n">
        <x:f>IF(OR(B138="",$I$6&lt;&gt;"Complete"),"",SUMIFS($E$32:$E$51,$C$32:$C$51,B138,$I$32:$I$51,"Ready"))</x:f>
        <x:v>0</x:v>
      </x:c>
      <x:c r="I138" s="37" t="n">
        <x:f>IF(OR(B138="",$I$6&lt;&gt;"Complete"),"",I137+E138+G138-H138)</x:f>
        <x:v>57000</x:v>
      </x:c>
      <x:c r="J138" s="37" t="n">
        <x:f>IF(OR(B138="",$I$6&lt;&gt;"Complete"),"",'Inputs'!$C$49)</x:f>
        <x:v>25000</x:v>
      </x:c>
      <x:c r="K138" s="37" t="n">
        <x:f>IF(OR(B138="",$I$6&lt;&gt;"Complete"),"",I138-J138)</x:f>
        <x:v>32000</x:v>
      </x:c>
      <x:c r="L138" s="61" t="n">
        <x:f>IF(OR(B138="",$I$6&lt;&gt;"Complete"),"",IF(K138&lt;0,1,0))</x:f>
        <x:v>0</x:v>
      </x:c>
    </x:row>
    <x:row r="139" ht="23" customHeight="1">
      <x:c r="A139" s="2"/>
      <x:c r="B139" s="60" t="n">
        <x:f>IF($D$6&lt;&gt;"Complete","",IF('Inputs'!$C$47+69&lt;=$D$9,'Inputs'!$C$47+69,""))</x:f>
        <x:v>46355</x:v>
      </x:c>
      <x:c r="C139" s="37" t="n">
        <x:f>IF(B139="","",SUMIFS($D$14:$D$23,$C$14:$C$23,B139))</x:f>
        <x:v>0</x:v>
      </x:c>
      <x:c r="D139" s="37" t="n">
        <x:f>IF(B139="","",SUMIFS($E$14:$E$23,$C$14:$C$23,B139))</x:f>
        <x:v>0</x:v>
      </x:c>
      <x:c r="E139" s="37" t="n">
        <x:f>IF(B139="","",C139-D139)</x:f>
        <x:v>0</x:v>
      </x:c>
      <x:c r="F139" s="37" t="n">
        <x:f>IF(B139="","",F138+E139)</x:f>
        <x:v>-23000</x:v>
      </x:c>
      <x:c r="G139" s="37" t="n">
        <x:f>IF(OR(B139="",$I$6&lt;&gt;"Complete"),"",SUMIFS($D$32:$D$51,$C$32:$C$51,B139,$I$32:$I$51,"Ready"))</x:f>
        <x:v>0</x:v>
      </x:c>
      <x:c r="H139" s="37" t="n">
        <x:f>IF(OR(B139="",$I$6&lt;&gt;"Complete"),"",SUMIFS($E$32:$E$51,$C$32:$C$51,B139,$I$32:$I$51,"Ready"))</x:f>
        <x:v>0</x:v>
      </x:c>
      <x:c r="I139" s="37" t="n">
        <x:f>IF(OR(B139="",$I$6&lt;&gt;"Complete"),"",I138+E139+G139-H139)</x:f>
        <x:v>57000</x:v>
      </x:c>
      <x:c r="J139" s="37" t="n">
        <x:f>IF(OR(B139="",$I$6&lt;&gt;"Complete"),"",'Inputs'!$C$49)</x:f>
        <x:v>25000</x:v>
      </x:c>
      <x:c r="K139" s="37" t="n">
        <x:f>IF(OR(B139="",$I$6&lt;&gt;"Complete"),"",I139-J139)</x:f>
        <x:v>32000</x:v>
      </x:c>
      <x:c r="L139" s="61" t="n">
        <x:f>IF(OR(B139="",$I$6&lt;&gt;"Complete"),"",IF(K139&lt;0,1,0))</x:f>
        <x:v>0</x:v>
      </x:c>
    </x:row>
    <x:row r="140" ht="23" customHeight="1">
      <x:c r="A140" s="2"/>
      <x:c r="B140" s="60" t="n">
        <x:f>IF($D$6&lt;&gt;"Complete","",IF('Inputs'!$C$47+70&lt;=$D$9,'Inputs'!$C$47+70,""))</x:f>
        <x:v>46356</x:v>
      </x:c>
      <x:c r="C140" s="37" t="n">
        <x:f>IF(B140="","",SUMIFS($D$14:$D$23,$C$14:$C$23,B140))</x:f>
        <x:v>0</x:v>
      </x:c>
      <x:c r="D140" s="37" t="n">
        <x:f>IF(B140="","",SUMIFS($E$14:$E$23,$C$14:$C$23,B140))</x:f>
        <x:v>0</x:v>
      </x:c>
      <x:c r="E140" s="37" t="n">
        <x:f>IF(B140="","",C140-D140)</x:f>
        <x:v>0</x:v>
      </x:c>
      <x:c r="F140" s="37" t="n">
        <x:f>IF(B140="","",F139+E140)</x:f>
        <x:v>-23000</x:v>
      </x:c>
      <x:c r="G140" s="37" t="n">
        <x:f>IF(OR(B140="",$I$6&lt;&gt;"Complete"),"",SUMIFS($D$32:$D$51,$C$32:$C$51,B140,$I$32:$I$51,"Ready"))</x:f>
        <x:v>0</x:v>
      </x:c>
      <x:c r="H140" s="37" t="n">
        <x:f>IF(OR(B140="",$I$6&lt;&gt;"Complete"),"",SUMIFS($E$32:$E$51,$C$32:$C$51,B140,$I$32:$I$51,"Ready"))</x:f>
        <x:v>0</x:v>
      </x:c>
      <x:c r="I140" s="37" t="n">
        <x:f>IF(OR(B140="",$I$6&lt;&gt;"Complete"),"",I139+E140+G140-H140)</x:f>
        <x:v>57000</x:v>
      </x:c>
      <x:c r="J140" s="37" t="n">
        <x:f>IF(OR(B140="",$I$6&lt;&gt;"Complete"),"",'Inputs'!$C$49)</x:f>
        <x:v>25000</x:v>
      </x:c>
      <x:c r="K140" s="37" t="n">
        <x:f>IF(OR(B140="",$I$6&lt;&gt;"Complete"),"",I140-J140)</x:f>
        <x:v>32000</x:v>
      </x:c>
      <x:c r="L140" s="61" t="n">
        <x:f>IF(OR(B140="",$I$6&lt;&gt;"Complete"),"",IF(K140&lt;0,1,0))</x:f>
        <x:v>0</x:v>
      </x:c>
    </x:row>
    <x:row r="141" ht="23" customHeight="1">
      <x:c r="A141" s="2"/>
      <x:c r="B141" s="60" t="n">
        <x:f>IF($D$6&lt;&gt;"Complete","",IF('Inputs'!$C$47+71&lt;=$D$9,'Inputs'!$C$47+71,""))</x:f>
        <x:v>46357</x:v>
      </x:c>
      <x:c r="C141" s="37" t="n">
        <x:f>IF(B141="","",SUMIFS($D$14:$D$23,$C$14:$C$23,B141))</x:f>
        <x:v>0</x:v>
      </x:c>
      <x:c r="D141" s="37" t="n">
        <x:f>IF(B141="","",SUMIFS($E$14:$E$23,$C$14:$C$23,B141))</x:f>
        <x:v>0</x:v>
      </x:c>
      <x:c r="E141" s="37" t="n">
        <x:f>IF(B141="","",C141-D141)</x:f>
        <x:v>0</x:v>
      </x:c>
      <x:c r="F141" s="37" t="n">
        <x:f>IF(B141="","",F140+E141)</x:f>
        <x:v>-23000</x:v>
      </x:c>
      <x:c r="G141" s="37" t="n">
        <x:f>IF(OR(B141="",$I$6&lt;&gt;"Complete"),"",SUMIFS($D$32:$D$51,$C$32:$C$51,B141,$I$32:$I$51,"Ready"))</x:f>
        <x:v>0</x:v>
      </x:c>
      <x:c r="H141" s="37" t="n">
        <x:f>IF(OR(B141="",$I$6&lt;&gt;"Complete"),"",SUMIFS($E$32:$E$51,$C$32:$C$51,B141,$I$32:$I$51,"Ready"))</x:f>
        <x:v>0</x:v>
      </x:c>
      <x:c r="I141" s="37" t="n">
        <x:f>IF(OR(B141="",$I$6&lt;&gt;"Complete"),"",I140+E141+G141-H141)</x:f>
        <x:v>57000</x:v>
      </x:c>
      <x:c r="J141" s="37" t="n">
        <x:f>IF(OR(B141="",$I$6&lt;&gt;"Complete"),"",'Inputs'!$C$49)</x:f>
        <x:v>25000</x:v>
      </x:c>
      <x:c r="K141" s="37" t="n">
        <x:f>IF(OR(B141="",$I$6&lt;&gt;"Complete"),"",I141-J141)</x:f>
        <x:v>32000</x:v>
      </x:c>
      <x:c r="L141" s="61" t="n">
        <x:f>IF(OR(B141="",$I$6&lt;&gt;"Complete"),"",IF(K141&lt;0,1,0))</x:f>
        <x:v>0</x:v>
      </x:c>
    </x:row>
    <x:row r="142" ht="23" customHeight="1">
      <x:c r="A142" s="2"/>
      <x:c r="B142" s="60" t="n">
        <x:f>IF($D$6&lt;&gt;"Complete","",IF('Inputs'!$C$47+72&lt;=$D$9,'Inputs'!$C$47+72,""))</x:f>
        <x:v>46358</x:v>
      </x:c>
      <x:c r="C142" s="37" t="n">
        <x:f>IF(B142="","",SUMIFS($D$14:$D$23,$C$14:$C$23,B142))</x:f>
        <x:v>0</x:v>
      </x:c>
      <x:c r="D142" s="37" t="n">
        <x:f>IF(B142="","",SUMIFS($E$14:$E$23,$C$14:$C$23,B142))</x:f>
        <x:v>0</x:v>
      </x:c>
      <x:c r="E142" s="37" t="n">
        <x:f>IF(B142="","",C142-D142)</x:f>
        <x:v>0</x:v>
      </x:c>
      <x:c r="F142" s="37" t="n">
        <x:f>IF(B142="","",F141+E142)</x:f>
        <x:v>-23000</x:v>
      </x:c>
      <x:c r="G142" s="37" t="n">
        <x:f>IF(OR(B142="",$I$6&lt;&gt;"Complete"),"",SUMIFS($D$32:$D$51,$C$32:$C$51,B142,$I$32:$I$51,"Ready"))</x:f>
        <x:v>0</x:v>
      </x:c>
      <x:c r="H142" s="37" t="n">
        <x:f>IF(OR(B142="",$I$6&lt;&gt;"Complete"),"",SUMIFS($E$32:$E$51,$C$32:$C$51,B142,$I$32:$I$51,"Ready"))</x:f>
        <x:v>0</x:v>
      </x:c>
      <x:c r="I142" s="37" t="n">
        <x:f>IF(OR(B142="",$I$6&lt;&gt;"Complete"),"",I141+E142+G142-H142)</x:f>
        <x:v>57000</x:v>
      </x:c>
      <x:c r="J142" s="37" t="n">
        <x:f>IF(OR(B142="",$I$6&lt;&gt;"Complete"),"",'Inputs'!$C$49)</x:f>
        <x:v>25000</x:v>
      </x:c>
      <x:c r="K142" s="37" t="n">
        <x:f>IF(OR(B142="",$I$6&lt;&gt;"Complete"),"",I142-J142)</x:f>
        <x:v>32000</x:v>
      </x:c>
      <x:c r="L142" s="61" t="n">
        <x:f>IF(OR(B142="",$I$6&lt;&gt;"Complete"),"",IF(K142&lt;0,1,0))</x:f>
        <x:v>0</x:v>
      </x:c>
    </x:row>
    <x:row r="143" ht="23" customHeight="1">
      <x:c r="A143" s="2"/>
      <x:c r="B143" s="60" t="n">
        <x:f>IF($D$6&lt;&gt;"Complete","",IF('Inputs'!$C$47+73&lt;=$D$9,'Inputs'!$C$47+73,""))</x:f>
        <x:v>46359</x:v>
      </x:c>
      <x:c r="C143" s="37" t="n">
        <x:f>IF(B143="","",SUMIFS($D$14:$D$23,$C$14:$C$23,B143))</x:f>
        <x:v>0</x:v>
      </x:c>
      <x:c r="D143" s="37" t="n">
        <x:f>IF(B143="","",SUMIFS($E$14:$E$23,$C$14:$C$23,B143))</x:f>
        <x:v>0</x:v>
      </x:c>
      <x:c r="E143" s="37" t="n">
        <x:f>IF(B143="","",C143-D143)</x:f>
        <x:v>0</x:v>
      </x:c>
      <x:c r="F143" s="37" t="n">
        <x:f>IF(B143="","",F142+E143)</x:f>
        <x:v>-23000</x:v>
      </x:c>
      <x:c r="G143" s="37" t="n">
        <x:f>IF(OR(B143="",$I$6&lt;&gt;"Complete"),"",SUMIFS($D$32:$D$51,$C$32:$C$51,B143,$I$32:$I$51,"Ready"))</x:f>
        <x:v>0</x:v>
      </x:c>
      <x:c r="H143" s="37" t="n">
        <x:f>IF(OR(B143="",$I$6&lt;&gt;"Complete"),"",SUMIFS($E$32:$E$51,$C$32:$C$51,B143,$I$32:$I$51,"Ready"))</x:f>
        <x:v>0</x:v>
      </x:c>
      <x:c r="I143" s="37" t="n">
        <x:f>IF(OR(B143="",$I$6&lt;&gt;"Complete"),"",I142+E143+G143-H143)</x:f>
        <x:v>57000</x:v>
      </x:c>
      <x:c r="J143" s="37" t="n">
        <x:f>IF(OR(B143="",$I$6&lt;&gt;"Complete"),"",'Inputs'!$C$49)</x:f>
        <x:v>25000</x:v>
      </x:c>
      <x:c r="K143" s="37" t="n">
        <x:f>IF(OR(B143="",$I$6&lt;&gt;"Complete"),"",I143-J143)</x:f>
        <x:v>32000</x:v>
      </x:c>
      <x:c r="L143" s="61" t="n">
        <x:f>IF(OR(B143="",$I$6&lt;&gt;"Complete"),"",IF(K143&lt;0,1,0))</x:f>
        <x:v>0</x:v>
      </x:c>
    </x:row>
    <x:row r="144" ht="23" customHeight="1">
      <x:c r="A144" s="2"/>
      <x:c r="B144" s="60" t="n">
        <x:f>IF($D$6&lt;&gt;"Complete","",IF('Inputs'!$C$47+74&lt;=$D$9,'Inputs'!$C$47+74,""))</x:f>
        <x:v>46360</x:v>
      </x:c>
      <x:c r="C144" s="37" t="n">
        <x:f>IF(B144="","",SUMIFS($D$14:$D$23,$C$14:$C$23,B144))</x:f>
        <x:v>0</x:v>
      </x:c>
      <x:c r="D144" s="37" t="n">
        <x:f>IF(B144="","",SUMIFS($E$14:$E$23,$C$14:$C$23,B144))</x:f>
        <x:v>0</x:v>
      </x:c>
      <x:c r="E144" s="37" t="n">
        <x:f>IF(B144="","",C144-D144)</x:f>
        <x:v>0</x:v>
      </x:c>
      <x:c r="F144" s="37" t="n">
        <x:f>IF(B144="","",F143+E144)</x:f>
        <x:v>-23000</x:v>
      </x:c>
      <x:c r="G144" s="37" t="n">
        <x:f>IF(OR(B144="",$I$6&lt;&gt;"Complete"),"",SUMIFS($D$32:$D$51,$C$32:$C$51,B144,$I$32:$I$51,"Ready"))</x:f>
        <x:v>0</x:v>
      </x:c>
      <x:c r="H144" s="37" t="n">
        <x:f>IF(OR(B144="",$I$6&lt;&gt;"Complete"),"",SUMIFS($E$32:$E$51,$C$32:$C$51,B144,$I$32:$I$51,"Ready"))</x:f>
        <x:v>0</x:v>
      </x:c>
      <x:c r="I144" s="37" t="n">
        <x:f>IF(OR(B144="",$I$6&lt;&gt;"Complete"),"",I143+E144+G144-H144)</x:f>
        <x:v>57000</x:v>
      </x:c>
      <x:c r="J144" s="37" t="n">
        <x:f>IF(OR(B144="",$I$6&lt;&gt;"Complete"),"",'Inputs'!$C$49)</x:f>
        <x:v>25000</x:v>
      </x:c>
      <x:c r="K144" s="37" t="n">
        <x:f>IF(OR(B144="",$I$6&lt;&gt;"Complete"),"",I144-J144)</x:f>
        <x:v>32000</x:v>
      </x:c>
      <x:c r="L144" s="61" t="n">
        <x:f>IF(OR(B144="",$I$6&lt;&gt;"Complete"),"",IF(K144&lt;0,1,0))</x:f>
        <x:v>0</x:v>
      </x:c>
    </x:row>
    <x:row r="145" ht="23" customHeight="1">
      <x:c r="A145" s="2"/>
      <x:c r="B145" s="60" t="n">
        <x:f>IF($D$6&lt;&gt;"Complete","",IF('Inputs'!$C$47+75&lt;=$D$9,'Inputs'!$C$47+75,""))</x:f>
        <x:v>46361</x:v>
      </x:c>
      <x:c r="C145" s="37" t="n">
        <x:f>IF(B145="","",SUMIFS($D$14:$D$23,$C$14:$C$23,B145))</x:f>
        <x:v>0</x:v>
      </x:c>
      <x:c r="D145" s="37" t="n">
        <x:f>IF(B145="","",SUMIFS($E$14:$E$23,$C$14:$C$23,B145))</x:f>
        <x:v>0</x:v>
      </x:c>
      <x:c r="E145" s="37" t="n">
        <x:f>IF(B145="","",C145-D145)</x:f>
        <x:v>0</x:v>
      </x:c>
      <x:c r="F145" s="37" t="n">
        <x:f>IF(B145="","",F144+E145)</x:f>
        <x:v>-23000</x:v>
      </x:c>
      <x:c r="G145" s="37" t="n">
        <x:f>IF(OR(B145="",$I$6&lt;&gt;"Complete"),"",SUMIFS($D$32:$D$51,$C$32:$C$51,B145,$I$32:$I$51,"Ready"))</x:f>
        <x:v>0</x:v>
      </x:c>
      <x:c r="H145" s="37" t="n">
        <x:f>IF(OR(B145="",$I$6&lt;&gt;"Complete"),"",SUMIFS($E$32:$E$51,$C$32:$C$51,B145,$I$32:$I$51,"Ready"))</x:f>
        <x:v>0</x:v>
      </x:c>
      <x:c r="I145" s="37" t="n">
        <x:f>IF(OR(B145="",$I$6&lt;&gt;"Complete"),"",I144+E145+G145-H145)</x:f>
        <x:v>57000</x:v>
      </x:c>
      <x:c r="J145" s="37" t="n">
        <x:f>IF(OR(B145="",$I$6&lt;&gt;"Complete"),"",'Inputs'!$C$49)</x:f>
        <x:v>25000</x:v>
      </x:c>
      <x:c r="K145" s="37" t="n">
        <x:f>IF(OR(B145="",$I$6&lt;&gt;"Complete"),"",I145-J145)</x:f>
        <x:v>32000</x:v>
      </x:c>
      <x:c r="L145" s="61" t="n">
        <x:f>IF(OR(B145="",$I$6&lt;&gt;"Complete"),"",IF(K145&lt;0,1,0))</x:f>
        <x:v>0</x:v>
      </x:c>
    </x:row>
    <x:row r="146" ht="23" customHeight="1">
      <x:c r="A146" s="2"/>
      <x:c r="B146" s="60" t="n">
        <x:f>IF($D$6&lt;&gt;"Complete","",IF('Inputs'!$C$47+76&lt;=$D$9,'Inputs'!$C$47+76,""))</x:f>
        <x:v>46362</x:v>
      </x:c>
      <x:c r="C146" s="37" t="n">
        <x:f>IF(B146="","",SUMIFS($D$14:$D$23,$C$14:$C$23,B146))</x:f>
        <x:v>0</x:v>
      </x:c>
      <x:c r="D146" s="37" t="n">
        <x:f>IF(B146="","",SUMIFS($E$14:$E$23,$C$14:$C$23,B146))</x:f>
        <x:v>0</x:v>
      </x:c>
      <x:c r="E146" s="37" t="n">
        <x:f>IF(B146="","",C146-D146)</x:f>
        <x:v>0</x:v>
      </x:c>
      <x:c r="F146" s="37" t="n">
        <x:f>IF(B146="","",F145+E146)</x:f>
        <x:v>-23000</x:v>
      </x:c>
      <x:c r="G146" s="37" t="n">
        <x:f>IF(OR(B146="",$I$6&lt;&gt;"Complete"),"",SUMIFS($D$32:$D$51,$C$32:$C$51,B146,$I$32:$I$51,"Ready"))</x:f>
        <x:v>0</x:v>
      </x:c>
      <x:c r="H146" s="37" t="n">
        <x:f>IF(OR(B146="",$I$6&lt;&gt;"Complete"),"",SUMIFS($E$32:$E$51,$C$32:$C$51,B146,$I$32:$I$51,"Ready"))</x:f>
        <x:v>0</x:v>
      </x:c>
      <x:c r="I146" s="37" t="n">
        <x:f>IF(OR(B146="",$I$6&lt;&gt;"Complete"),"",I145+E146+G146-H146)</x:f>
        <x:v>57000</x:v>
      </x:c>
      <x:c r="J146" s="37" t="n">
        <x:f>IF(OR(B146="",$I$6&lt;&gt;"Complete"),"",'Inputs'!$C$49)</x:f>
        <x:v>25000</x:v>
      </x:c>
      <x:c r="K146" s="37" t="n">
        <x:f>IF(OR(B146="",$I$6&lt;&gt;"Complete"),"",I146-J146)</x:f>
        <x:v>32000</x:v>
      </x:c>
      <x:c r="L146" s="61" t="n">
        <x:f>IF(OR(B146="",$I$6&lt;&gt;"Complete"),"",IF(K146&lt;0,1,0))</x:f>
        <x:v>0</x:v>
      </x:c>
    </x:row>
    <x:row r="147" ht="23" customHeight="1">
      <x:c r="A147" s="2"/>
      <x:c r="B147" s="60" t="n">
        <x:f>IF($D$6&lt;&gt;"Complete","",IF('Inputs'!$C$47+77&lt;=$D$9,'Inputs'!$C$47+77,""))</x:f>
        <x:v>46363</x:v>
      </x:c>
      <x:c r="C147" s="37" t="n">
        <x:f>IF(B147="","",SUMIFS($D$14:$D$23,$C$14:$C$23,B147))</x:f>
        <x:v>0</x:v>
      </x:c>
      <x:c r="D147" s="37" t="n">
        <x:f>IF(B147="","",SUMIFS($E$14:$E$23,$C$14:$C$23,B147))</x:f>
        <x:v>0</x:v>
      </x:c>
      <x:c r="E147" s="37" t="n">
        <x:f>IF(B147="","",C147-D147)</x:f>
        <x:v>0</x:v>
      </x:c>
      <x:c r="F147" s="37" t="n">
        <x:f>IF(B147="","",F146+E147)</x:f>
        <x:v>-23000</x:v>
      </x:c>
      <x:c r="G147" s="37" t="n">
        <x:f>IF(OR(B147="",$I$6&lt;&gt;"Complete"),"",SUMIFS($D$32:$D$51,$C$32:$C$51,B147,$I$32:$I$51,"Ready"))</x:f>
        <x:v>0</x:v>
      </x:c>
      <x:c r="H147" s="37" t="n">
        <x:f>IF(OR(B147="",$I$6&lt;&gt;"Complete"),"",SUMIFS($E$32:$E$51,$C$32:$C$51,B147,$I$32:$I$51,"Ready"))</x:f>
        <x:v>0</x:v>
      </x:c>
      <x:c r="I147" s="37" t="n">
        <x:f>IF(OR(B147="",$I$6&lt;&gt;"Complete"),"",I146+E147+G147-H147)</x:f>
        <x:v>57000</x:v>
      </x:c>
      <x:c r="J147" s="37" t="n">
        <x:f>IF(OR(B147="",$I$6&lt;&gt;"Complete"),"",'Inputs'!$C$49)</x:f>
        <x:v>25000</x:v>
      </x:c>
      <x:c r="K147" s="37" t="n">
        <x:f>IF(OR(B147="",$I$6&lt;&gt;"Complete"),"",I147-J147)</x:f>
        <x:v>32000</x:v>
      </x:c>
      <x:c r="L147" s="61" t="n">
        <x:f>IF(OR(B147="",$I$6&lt;&gt;"Complete"),"",IF(K147&lt;0,1,0))</x:f>
        <x:v>0</x:v>
      </x:c>
    </x:row>
    <x:row r="148" ht="23" customHeight="1">
      <x:c r="A148" s="2"/>
      <x:c r="B148" s="60" t="n">
        <x:f>IF($D$6&lt;&gt;"Complete","",IF('Inputs'!$C$47+78&lt;=$D$9,'Inputs'!$C$47+78,""))</x:f>
        <x:v>46364</x:v>
      </x:c>
      <x:c r="C148" s="37" t="n">
        <x:f>IF(B148="","",SUMIFS($D$14:$D$23,$C$14:$C$23,B148))</x:f>
        <x:v>0</x:v>
      </x:c>
      <x:c r="D148" s="37" t="n">
        <x:f>IF(B148="","",SUMIFS($E$14:$E$23,$C$14:$C$23,B148))</x:f>
        <x:v>0</x:v>
      </x:c>
      <x:c r="E148" s="37" t="n">
        <x:f>IF(B148="","",C148-D148)</x:f>
        <x:v>0</x:v>
      </x:c>
      <x:c r="F148" s="37" t="n">
        <x:f>IF(B148="","",F147+E148)</x:f>
        <x:v>-23000</x:v>
      </x:c>
      <x:c r="G148" s="37" t="n">
        <x:f>IF(OR(B148="",$I$6&lt;&gt;"Complete"),"",SUMIFS($D$32:$D$51,$C$32:$C$51,B148,$I$32:$I$51,"Ready"))</x:f>
        <x:v>0</x:v>
      </x:c>
      <x:c r="H148" s="37" t="n">
        <x:f>IF(OR(B148="",$I$6&lt;&gt;"Complete"),"",SUMIFS($E$32:$E$51,$C$32:$C$51,B148,$I$32:$I$51,"Ready"))</x:f>
        <x:v>0</x:v>
      </x:c>
      <x:c r="I148" s="37" t="n">
        <x:f>IF(OR(B148="",$I$6&lt;&gt;"Complete"),"",I147+E148+G148-H148)</x:f>
        <x:v>57000</x:v>
      </x:c>
      <x:c r="J148" s="37" t="n">
        <x:f>IF(OR(B148="",$I$6&lt;&gt;"Complete"),"",'Inputs'!$C$49)</x:f>
        <x:v>25000</x:v>
      </x:c>
      <x:c r="K148" s="37" t="n">
        <x:f>IF(OR(B148="",$I$6&lt;&gt;"Complete"),"",I148-J148)</x:f>
        <x:v>32000</x:v>
      </x:c>
      <x:c r="L148" s="61" t="n">
        <x:f>IF(OR(B148="",$I$6&lt;&gt;"Complete"),"",IF(K148&lt;0,1,0))</x:f>
        <x:v>0</x:v>
      </x:c>
    </x:row>
    <x:row r="149" ht="23" customHeight="1">
      <x:c r="A149" s="2"/>
      <x:c r="B149" s="60" t="n">
        <x:f>IF($D$6&lt;&gt;"Complete","",IF('Inputs'!$C$47+79&lt;=$D$9,'Inputs'!$C$47+79,""))</x:f>
        <x:v>46365</x:v>
      </x:c>
      <x:c r="C149" s="37" t="n">
        <x:f>IF(B149="","",SUMIFS($D$14:$D$23,$C$14:$C$23,B149))</x:f>
        <x:v>0</x:v>
      </x:c>
      <x:c r="D149" s="37" t="n">
        <x:f>IF(B149="","",SUMIFS($E$14:$E$23,$C$14:$C$23,B149))</x:f>
        <x:v>0</x:v>
      </x:c>
      <x:c r="E149" s="37" t="n">
        <x:f>IF(B149="","",C149-D149)</x:f>
        <x:v>0</x:v>
      </x:c>
      <x:c r="F149" s="37" t="n">
        <x:f>IF(B149="","",F148+E149)</x:f>
        <x:v>-23000</x:v>
      </x:c>
      <x:c r="G149" s="37" t="n">
        <x:f>IF(OR(B149="",$I$6&lt;&gt;"Complete"),"",SUMIFS($D$32:$D$51,$C$32:$C$51,B149,$I$32:$I$51,"Ready"))</x:f>
        <x:v>0</x:v>
      </x:c>
      <x:c r="H149" s="37" t="n">
        <x:f>IF(OR(B149="",$I$6&lt;&gt;"Complete"),"",SUMIFS($E$32:$E$51,$C$32:$C$51,B149,$I$32:$I$51,"Ready"))</x:f>
        <x:v>0</x:v>
      </x:c>
      <x:c r="I149" s="37" t="n">
        <x:f>IF(OR(B149="",$I$6&lt;&gt;"Complete"),"",I148+E149+G149-H149)</x:f>
        <x:v>57000</x:v>
      </x:c>
      <x:c r="J149" s="37" t="n">
        <x:f>IF(OR(B149="",$I$6&lt;&gt;"Complete"),"",'Inputs'!$C$49)</x:f>
        <x:v>25000</x:v>
      </x:c>
      <x:c r="K149" s="37" t="n">
        <x:f>IF(OR(B149="",$I$6&lt;&gt;"Complete"),"",I149-J149)</x:f>
        <x:v>32000</x:v>
      </x:c>
      <x:c r="L149" s="61" t="n">
        <x:f>IF(OR(B149="",$I$6&lt;&gt;"Complete"),"",IF(K149&lt;0,1,0))</x:f>
        <x:v>0</x:v>
      </x:c>
    </x:row>
    <x:row r="150" ht="23" customHeight="1">
      <x:c r="A150" s="2"/>
      <x:c r="B150" s="60" t="n">
        <x:f>IF($D$6&lt;&gt;"Complete","",IF('Inputs'!$C$47+80&lt;=$D$9,'Inputs'!$C$47+80,""))</x:f>
        <x:v>46366</x:v>
      </x:c>
      <x:c r="C150" s="37" t="n">
        <x:f>IF(B150="","",SUMIFS($D$14:$D$23,$C$14:$C$23,B150))</x:f>
        <x:v>0</x:v>
      </x:c>
      <x:c r="D150" s="37" t="n">
        <x:f>IF(B150="","",SUMIFS($E$14:$E$23,$C$14:$C$23,B150))</x:f>
        <x:v>0</x:v>
      </x:c>
      <x:c r="E150" s="37" t="n">
        <x:f>IF(B150="","",C150-D150)</x:f>
        <x:v>0</x:v>
      </x:c>
      <x:c r="F150" s="37" t="n">
        <x:f>IF(B150="","",F149+E150)</x:f>
        <x:v>-23000</x:v>
      </x:c>
      <x:c r="G150" s="37" t="n">
        <x:f>IF(OR(B150="",$I$6&lt;&gt;"Complete"),"",SUMIFS($D$32:$D$51,$C$32:$C$51,B150,$I$32:$I$51,"Ready"))</x:f>
        <x:v>0</x:v>
      </x:c>
      <x:c r="H150" s="37" t="n">
        <x:f>IF(OR(B150="",$I$6&lt;&gt;"Complete"),"",SUMIFS($E$32:$E$51,$C$32:$C$51,B150,$I$32:$I$51,"Ready"))</x:f>
        <x:v>0</x:v>
      </x:c>
      <x:c r="I150" s="37" t="n">
        <x:f>IF(OR(B150="",$I$6&lt;&gt;"Complete"),"",I149+E150+G150-H150)</x:f>
        <x:v>57000</x:v>
      </x:c>
      <x:c r="J150" s="37" t="n">
        <x:f>IF(OR(B150="",$I$6&lt;&gt;"Complete"),"",'Inputs'!$C$49)</x:f>
        <x:v>25000</x:v>
      </x:c>
      <x:c r="K150" s="37" t="n">
        <x:f>IF(OR(B150="",$I$6&lt;&gt;"Complete"),"",I150-J150)</x:f>
        <x:v>32000</x:v>
      </x:c>
      <x:c r="L150" s="61" t="n">
        <x:f>IF(OR(B150="",$I$6&lt;&gt;"Complete"),"",IF(K150&lt;0,1,0))</x:f>
        <x:v>0</x:v>
      </x:c>
    </x:row>
    <x:row r="151" ht="23" customHeight="1">
      <x:c r="A151" s="2"/>
      <x:c r="B151" s="60" t="n">
        <x:f>IF($D$6&lt;&gt;"Complete","",IF('Inputs'!$C$47+81&lt;=$D$9,'Inputs'!$C$47+81,""))</x:f>
        <x:v>46367</x:v>
      </x:c>
      <x:c r="C151" s="37" t="n">
        <x:f>IF(B151="","",SUMIFS($D$14:$D$23,$C$14:$C$23,B151))</x:f>
        <x:v>0</x:v>
      </x:c>
      <x:c r="D151" s="37" t="n">
        <x:f>IF(B151="","",SUMIFS($E$14:$E$23,$C$14:$C$23,B151))</x:f>
        <x:v>0</x:v>
      </x:c>
      <x:c r="E151" s="37" t="n">
        <x:f>IF(B151="","",C151-D151)</x:f>
        <x:v>0</x:v>
      </x:c>
      <x:c r="F151" s="37" t="n">
        <x:f>IF(B151="","",F150+E151)</x:f>
        <x:v>-23000</x:v>
      </x:c>
      <x:c r="G151" s="37" t="n">
        <x:f>IF(OR(B151="",$I$6&lt;&gt;"Complete"),"",SUMIFS($D$32:$D$51,$C$32:$C$51,B151,$I$32:$I$51,"Ready"))</x:f>
        <x:v>0</x:v>
      </x:c>
      <x:c r="H151" s="37" t="n">
        <x:f>IF(OR(B151="",$I$6&lt;&gt;"Complete"),"",SUMIFS($E$32:$E$51,$C$32:$C$51,B151,$I$32:$I$51,"Ready"))</x:f>
        <x:v>0</x:v>
      </x:c>
      <x:c r="I151" s="37" t="n">
        <x:f>IF(OR(B151="",$I$6&lt;&gt;"Complete"),"",I150+E151+G151-H151)</x:f>
        <x:v>57000</x:v>
      </x:c>
      <x:c r="J151" s="37" t="n">
        <x:f>IF(OR(B151="",$I$6&lt;&gt;"Complete"),"",'Inputs'!$C$49)</x:f>
        <x:v>25000</x:v>
      </x:c>
      <x:c r="K151" s="37" t="n">
        <x:f>IF(OR(B151="",$I$6&lt;&gt;"Complete"),"",I151-J151)</x:f>
        <x:v>32000</x:v>
      </x:c>
      <x:c r="L151" s="61" t="n">
        <x:f>IF(OR(B151="",$I$6&lt;&gt;"Complete"),"",IF(K151&lt;0,1,0))</x:f>
        <x:v>0</x:v>
      </x:c>
    </x:row>
    <x:row r="152" ht="23" customHeight="1">
      <x:c r="A152" s="2"/>
      <x:c r="B152" s="60" t="n">
        <x:f>IF($D$6&lt;&gt;"Complete","",IF('Inputs'!$C$47+82&lt;=$D$9,'Inputs'!$C$47+82,""))</x:f>
        <x:v>46368</x:v>
      </x:c>
      <x:c r="C152" s="37" t="n">
        <x:f>IF(B152="","",SUMIFS($D$14:$D$23,$C$14:$C$23,B152))</x:f>
        <x:v>0</x:v>
      </x:c>
      <x:c r="D152" s="37" t="n">
        <x:f>IF(B152="","",SUMIFS($E$14:$E$23,$C$14:$C$23,B152))</x:f>
        <x:v>0</x:v>
      </x:c>
      <x:c r="E152" s="37" t="n">
        <x:f>IF(B152="","",C152-D152)</x:f>
        <x:v>0</x:v>
      </x:c>
      <x:c r="F152" s="37" t="n">
        <x:f>IF(B152="","",F151+E152)</x:f>
        <x:v>-23000</x:v>
      </x:c>
      <x:c r="G152" s="37" t="n">
        <x:f>IF(OR(B152="",$I$6&lt;&gt;"Complete"),"",SUMIFS($D$32:$D$51,$C$32:$C$51,B152,$I$32:$I$51,"Ready"))</x:f>
        <x:v>0</x:v>
      </x:c>
      <x:c r="H152" s="37" t="n">
        <x:f>IF(OR(B152="",$I$6&lt;&gt;"Complete"),"",SUMIFS($E$32:$E$51,$C$32:$C$51,B152,$I$32:$I$51,"Ready"))</x:f>
        <x:v>0</x:v>
      </x:c>
      <x:c r="I152" s="37" t="n">
        <x:f>IF(OR(B152="",$I$6&lt;&gt;"Complete"),"",I151+E152+G152-H152)</x:f>
        <x:v>57000</x:v>
      </x:c>
      <x:c r="J152" s="37" t="n">
        <x:f>IF(OR(B152="",$I$6&lt;&gt;"Complete"),"",'Inputs'!$C$49)</x:f>
        <x:v>25000</x:v>
      </x:c>
      <x:c r="K152" s="37" t="n">
        <x:f>IF(OR(B152="",$I$6&lt;&gt;"Complete"),"",I152-J152)</x:f>
        <x:v>32000</x:v>
      </x:c>
      <x:c r="L152" s="61" t="n">
        <x:f>IF(OR(B152="",$I$6&lt;&gt;"Complete"),"",IF(K152&lt;0,1,0))</x:f>
        <x:v>0</x:v>
      </x:c>
    </x:row>
    <x:row r="153" ht="23" customHeight="1">
      <x:c r="A153" s="2"/>
      <x:c r="B153" s="60" t="n">
        <x:f>IF($D$6&lt;&gt;"Complete","",IF('Inputs'!$C$47+83&lt;=$D$9,'Inputs'!$C$47+83,""))</x:f>
        <x:v>46369</x:v>
      </x:c>
      <x:c r="C153" s="37" t="n">
        <x:f>IF(B153="","",SUMIFS($D$14:$D$23,$C$14:$C$23,B153))</x:f>
        <x:v>0</x:v>
      </x:c>
      <x:c r="D153" s="37" t="n">
        <x:f>IF(B153="","",SUMIFS($E$14:$E$23,$C$14:$C$23,B153))</x:f>
        <x:v>0</x:v>
      </x:c>
      <x:c r="E153" s="37" t="n">
        <x:f>IF(B153="","",C153-D153)</x:f>
        <x:v>0</x:v>
      </x:c>
      <x:c r="F153" s="37" t="n">
        <x:f>IF(B153="","",F152+E153)</x:f>
        <x:v>-23000</x:v>
      </x:c>
      <x:c r="G153" s="37" t="n">
        <x:f>IF(OR(B153="",$I$6&lt;&gt;"Complete"),"",SUMIFS($D$32:$D$51,$C$32:$C$51,B153,$I$32:$I$51,"Ready"))</x:f>
        <x:v>0</x:v>
      </x:c>
      <x:c r="H153" s="37" t="n">
        <x:f>IF(OR(B153="",$I$6&lt;&gt;"Complete"),"",SUMIFS($E$32:$E$51,$C$32:$C$51,B153,$I$32:$I$51,"Ready"))</x:f>
        <x:v>0</x:v>
      </x:c>
      <x:c r="I153" s="37" t="n">
        <x:f>IF(OR(B153="",$I$6&lt;&gt;"Complete"),"",I152+E153+G153-H153)</x:f>
        <x:v>57000</x:v>
      </x:c>
      <x:c r="J153" s="37" t="n">
        <x:f>IF(OR(B153="",$I$6&lt;&gt;"Complete"),"",'Inputs'!$C$49)</x:f>
        <x:v>25000</x:v>
      </x:c>
      <x:c r="K153" s="37" t="n">
        <x:f>IF(OR(B153="",$I$6&lt;&gt;"Complete"),"",I153-J153)</x:f>
        <x:v>32000</x:v>
      </x:c>
      <x:c r="L153" s="61" t="n">
        <x:f>IF(OR(B153="",$I$6&lt;&gt;"Complete"),"",IF(K153&lt;0,1,0))</x:f>
        <x:v>0</x:v>
      </x:c>
    </x:row>
    <x:row r="154" ht="23" customHeight="1">
      <x:c r="A154" s="2"/>
      <x:c r="B154" s="60" t="n">
        <x:f>IF($D$6&lt;&gt;"Complete","",IF('Inputs'!$C$47+84&lt;=$D$9,'Inputs'!$C$47+84,""))</x:f>
        <x:v>46370</x:v>
      </x:c>
      <x:c r="C154" s="37" t="n">
        <x:f>IF(B154="","",SUMIFS($D$14:$D$23,$C$14:$C$23,B154))</x:f>
        <x:v>0</x:v>
      </x:c>
      <x:c r="D154" s="37" t="n">
        <x:f>IF(B154="","",SUMIFS($E$14:$E$23,$C$14:$C$23,B154))</x:f>
        <x:v>0</x:v>
      </x:c>
      <x:c r="E154" s="37" t="n">
        <x:f>IF(B154="","",C154-D154)</x:f>
        <x:v>0</x:v>
      </x:c>
      <x:c r="F154" s="37" t="n">
        <x:f>IF(B154="","",F153+E154)</x:f>
        <x:v>-23000</x:v>
      </x:c>
      <x:c r="G154" s="37" t="n">
        <x:f>IF(OR(B154="",$I$6&lt;&gt;"Complete"),"",SUMIFS($D$32:$D$51,$C$32:$C$51,B154,$I$32:$I$51,"Ready"))</x:f>
        <x:v>0</x:v>
      </x:c>
      <x:c r="H154" s="37" t="n">
        <x:f>IF(OR(B154="",$I$6&lt;&gt;"Complete"),"",SUMIFS($E$32:$E$51,$C$32:$C$51,B154,$I$32:$I$51,"Ready"))</x:f>
        <x:v>0</x:v>
      </x:c>
      <x:c r="I154" s="37" t="n">
        <x:f>IF(OR(B154="",$I$6&lt;&gt;"Complete"),"",I153+E154+G154-H154)</x:f>
        <x:v>57000</x:v>
      </x:c>
      <x:c r="J154" s="37" t="n">
        <x:f>IF(OR(B154="",$I$6&lt;&gt;"Complete"),"",'Inputs'!$C$49)</x:f>
        <x:v>25000</x:v>
      </x:c>
      <x:c r="K154" s="37" t="n">
        <x:f>IF(OR(B154="",$I$6&lt;&gt;"Complete"),"",I154-J154)</x:f>
        <x:v>32000</x:v>
      </x:c>
      <x:c r="L154" s="61" t="n">
        <x:f>IF(OR(B154="",$I$6&lt;&gt;"Complete"),"",IF(K154&lt;0,1,0))</x:f>
        <x:v>0</x:v>
      </x:c>
    </x:row>
    <x:row r="155" ht="23" customHeight="1">
      <x:c r="A155" s="2"/>
      <x:c r="B155" s="60" t="n">
        <x:f>IF($D$6&lt;&gt;"Complete","",IF('Inputs'!$C$47+85&lt;=$D$9,'Inputs'!$C$47+85,""))</x:f>
        <x:v>46371</x:v>
      </x:c>
      <x:c r="C155" s="37" t="n">
        <x:f>IF(B155="","",SUMIFS($D$14:$D$23,$C$14:$C$23,B155))</x:f>
        <x:v>0</x:v>
      </x:c>
      <x:c r="D155" s="37" t="n">
        <x:f>IF(B155="","",SUMIFS($E$14:$E$23,$C$14:$C$23,B155))</x:f>
        <x:v>0</x:v>
      </x:c>
      <x:c r="E155" s="37" t="n">
        <x:f>IF(B155="","",C155-D155)</x:f>
        <x:v>0</x:v>
      </x:c>
      <x:c r="F155" s="37" t="n">
        <x:f>IF(B155="","",F154+E155)</x:f>
        <x:v>-23000</x:v>
      </x:c>
      <x:c r="G155" s="37" t="n">
        <x:f>IF(OR(B155="",$I$6&lt;&gt;"Complete"),"",SUMIFS($D$32:$D$51,$C$32:$C$51,B155,$I$32:$I$51,"Ready"))</x:f>
        <x:v>0</x:v>
      </x:c>
      <x:c r="H155" s="37" t="n">
        <x:f>IF(OR(B155="",$I$6&lt;&gt;"Complete"),"",SUMIFS($E$32:$E$51,$C$32:$C$51,B155,$I$32:$I$51,"Ready"))</x:f>
        <x:v>0</x:v>
      </x:c>
      <x:c r="I155" s="37" t="n">
        <x:f>IF(OR(B155="",$I$6&lt;&gt;"Complete"),"",I154+E155+G155-H155)</x:f>
        <x:v>57000</x:v>
      </x:c>
      <x:c r="J155" s="37" t="n">
        <x:f>IF(OR(B155="",$I$6&lt;&gt;"Complete"),"",'Inputs'!$C$49)</x:f>
        <x:v>25000</x:v>
      </x:c>
      <x:c r="K155" s="37" t="n">
        <x:f>IF(OR(B155="",$I$6&lt;&gt;"Complete"),"",I155-J155)</x:f>
        <x:v>32000</x:v>
      </x:c>
      <x:c r="L155" s="61" t="n">
        <x:f>IF(OR(B155="",$I$6&lt;&gt;"Complete"),"",IF(K155&lt;0,1,0))</x:f>
        <x:v>0</x:v>
      </x:c>
    </x:row>
    <x:row r="156" ht="23" customHeight="1">
      <x:c r="A156" s="2"/>
      <x:c r="B156" s="60" t="n">
        <x:f>IF($D$6&lt;&gt;"Complete","",IF('Inputs'!$C$47+86&lt;=$D$9,'Inputs'!$C$47+86,""))</x:f>
        <x:v>46372</x:v>
      </x:c>
      <x:c r="C156" s="37" t="n">
        <x:f>IF(B156="","",SUMIFS($D$14:$D$23,$C$14:$C$23,B156))</x:f>
        <x:v>0</x:v>
      </x:c>
      <x:c r="D156" s="37" t="n">
        <x:f>IF(B156="","",SUMIFS($E$14:$E$23,$C$14:$C$23,B156))</x:f>
        <x:v>0</x:v>
      </x:c>
      <x:c r="E156" s="37" t="n">
        <x:f>IF(B156="","",C156-D156)</x:f>
        <x:v>0</x:v>
      </x:c>
      <x:c r="F156" s="37" t="n">
        <x:f>IF(B156="","",F155+E156)</x:f>
        <x:v>-23000</x:v>
      </x:c>
      <x:c r="G156" s="37" t="n">
        <x:f>IF(OR(B156="",$I$6&lt;&gt;"Complete"),"",SUMIFS($D$32:$D$51,$C$32:$C$51,B156,$I$32:$I$51,"Ready"))</x:f>
        <x:v>0</x:v>
      </x:c>
      <x:c r="H156" s="37" t="n">
        <x:f>IF(OR(B156="",$I$6&lt;&gt;"Complete"),"",SUMIFS($E$32:$E$51,$C$32:$C$51,B156,$I$32:$I$51,"Ready"))</x:f>
        <x:v>0</x:v>
      </x:c>
      <x:c r="I156" s="37" t="n">
        <x:f>IF(OR(B156="",$I$6&lt;&gt;"Complete"),"",I155+E156+G156-H156)</x:f>
        <x:v>57000</x:v>
      </x:c>
      <x:c r="J156" s="37" t="n">
        <x:f>IF(OR(B156="",$I$6&lt;&gt;"Complete"),"",'Inputs'!$C$49)</x:f>
        <x:v>25000</x:v>
      </x:c>
      <x:c r="K156" s="37" t="n">
        <x:f>IF(OR(B156="",$I$6&lt;&gt;"Complete"),"",I156-J156)</x:f>
        <x:v>32000</x:v>
      </x:c>
      <x:c r="L156" s="61" t="n">
        <x:f>IF(OR(B156="",$I$6&lt;&gt;"Complete"),"",IF(K156&lt;0,1,0))</x:f>
        <x:v>0</x:v>
      </x:c>
    </x:row>
    <x:row r="157" ht="23" customHeight="1">
      <x:c r="A157" s="2"/>
      <x:c r="B157" s="60" t="n">
        <x:f>IF($D$6&lt;&gt;"Complete","",IF('Inputs'!$C$47+87&lt;=$D$9,'Inputs'!$C$47+87,""))</x:f>
        <x:v>46373</x:v>
      </x:c>
      <x:c r="C157" s="37" t="n">
        <x:f>IF(B157="","",SUMIFS($D$14:$D$23,$C$14:$C$23,B157))</x:f>
        <x:v>0</x:v>
      </x:c>
      <x:c r="D157" s="37" t="n">
        <x:f>IF(B157="","",SUMIFS($E$14:$E$23,$C$14:$C$23,B157))</x:f>
        <x:v>0</x:v>
      </x:c>
      <x:c r="E157" s="37" t="n">
        <x:f>IF(B157="","",C157-D157)</x:f>
        <x:v>0</x:v>
      </x:c>
      <x:c r="F157" s="37" t="n">
        <x:f>IF(B157="","",F156+E157)</x:f>
        <x:v>-23000</x:v>
      </x:c>
      <x:c r="G157" s="37" t="n">
        <x:f>IF(OR(B157="",$I$6&lt;&gt;"Complete"),"",SUMIFS($D$32:$D$51,$C$32:$C$51,B157,$I$32:$I$51,"Ready"))</x:f>
        <x:v>0</x:v>
      </x:c>
      <x:c r="H157" s="37" t="n">
        <x:f>IF(OR(B157="",$I$6&lt;&gt;"Complete"),"",SUMIFS($E$32:$E$51,$C$32:$C$51,B157,$I$32:$I$51,"Ready"))</x:f>
        <x:v>0</x:v>
      </x:c>
      <x:c r="I157" s="37" t="n">
        <x:f>IF(OR(B157="",$I$6&lt;&gt;"Complete"),"",I156+E157+G157-H157)</x:f>
        <x:v>57000</x:v>
      </x:c>
      <x:c r="J157" s="37" t="n">
        <x:f>IF(OR(B157="",$I$6&lt;&gt;"Complete"),"",'Inputs'!$C$49)</x:f>
        <x:v>25000</x:v>
      </x:c>
      <x:c r="K157" s="37" t="n">
        <x:f>IF(OR(B157="",$I$6&lt;&gt;"Complete"),"",I157-J157)</x:f>
        <x:v>32000</x:v>
      </x:c>
      <x:c r="L157" s="61" t="n">
        <x:f>IF(OR(B157="",$I$6&lt;&gt;"Complete"),"",IF(K157&lt;0,1,0))</x:f>
        <x:v>0</x:v>
      </x:c>
    </x:row>
    <x:row r="158" ht="23" customHeight="1">
      <x:c r="A158" s="2"/>
      <x:c r="B158" s="60" t="n">
        <x:f>IF($D$6&lt;&gt;"Complete","",IF('Inputs'!$C$47+88&lt;=$D$9,'Inputs'!$C$47+88,""))</x:f>
        <x:v>46374</x:v>
      </x:c>
      <x:c r="C158" s="37" t="n">
        <x:f>IF(B158="","",SUMIFS($D$14:$D$23,$C$14:$C$23,B158))</x:f>
        <x:v>0</x:v>
      </x:c>
      <x:c r="D158" s="37" t="n">
        <x:f>IF(B158="","",SUMIFS($E$14:$E$23,$C$14:$C$23,B158))</x:f>
        <x:v>0</x:v>
      </x:c>
      <x:c r="E158" s="37" t="n">
        <x:f>IF(B158="","",C158-D158)</x:f>
        <x:v>0</x:v>
      </x:c>
      <x:c r="F158" s="37" t="n">
        <x:f>IF(B158="","",F157+E158)</x:f>
        <x:v>-23000</x:v>
      </x:c>
      <x:c r="G158" s="37" t="n">
        <x:f>IF(OR(B158="",$I$6&lt;&gt;"Complete"),"",SUMIFS($D$32:$D$51,$C$32:$C$51,B158,$I$32:$I$51,"Ready"))</x:f>
        <x:v>0</x:v>
      </x:c>
      <x:c r="H158" s="37" t="n">
        <x:f>IF(OR(B158="",$I$6&lt;&gt;"Complete"),"",SUMIFS($E$32:$E$51,$C$32:$C$51,B158,$I$32:$I$51,"Ready"))</x:f>
        <x:v>0</x:v>
      </x:c>
      <x:c r="I158" s="37" t="n">
        <x:f>IF(OR(B158="",$I$6&lt;&gt;"Complete"),"",I157+E158+G158-H158)</x:f>
        <x:v>57000</x:v>
      </x:c>
      <x:c r="J158" s="37" t="n">
        <x:f>IF(OR(B158="",$I$6&lt;&gt;"Complete"),"",'Inputs'!$C$49)</x:f>
        <x:v>25000</x:v>
      </x:c>
      <x:c r="K158" s="37" t="n">
        <x:f>IF(OR(B158="",$I$6&lt;&gt;"Complete"),"",I158-J158)</x:f>
        <x:v>32000</x:v>
      </x:c>
      <x:c r="L158" s="61" t="n">
        <x:f>IF(OR(B158="",$I$6&lt;&gt;"Complete"),"",IF(K158&lt;0,1,0))</x:f>
        <x:v>0</x:v>
      </x:c>
    </x:row>
    <x:row r="159" ht="23" customHeight="1">
      <x:c r="A159" s="2"/>
      <x:c r="B159" s="60" t="n">
        <x:f>IF($D$6&lt;&gt;"Complete","",IF('Inputs'!$C$47+89&lt;=$D$9,'Inputs'!$C$47+89,""))</x:f>
        <x:v>46375</x:v>
      </x:c>
      <x:c r="C159" s="37" t="n">
        <x:f>IF(B159="","",SUMIFS($D$14:$D$23,$C$14:$C$23,B159))</x:f>
        <x:v>0</x:v>
      </x:c>
      <x:c r="D159" s="37" t="n">
        <x:f>IF(B159="","",SUMIFS($E$14:$E$23,$C$14:$C$23,B159))</x:f>
        <x:v>0</x:v>
      </x:c>
      <x:c r="E159" s="37" t="n">
        <x:f>IF(B159="","",C159-D159)</x:f>
        <x:v>0</x:v>
      </x:c>
      <x:c r="F159" s="37" t="n">
        <x:f>IF(B159="","",F158+E159)</x:f>
        <x:v>-23000</x:v>
      </x:c>
      <x:c r="G159" s="37" t="n">
        <x:f>IF(OR(B159="",$I$6&lt;&gt;"Complete"),"",SUMIFS($D$32:$D$51,$C$32:$C$51,B159,$I$32:$I$51,"Ready"))</x:f>
        <x:v>0</x:v>
      </x:c>
      <x:c r="H159" s="37" t="n">
        <x:f>IF(OR(B159="",$I$6&lt;&gt;"Complete"),"",SUMIFS($E$32:$E$51,$C$32:$C$51,B159,$I$32:$I$51,"Ready"))</x:f>
        <x:v>0</x:v>
      </x:c>
      <x:c r="I159" s="37" t="n">
        <x:f>IF(OR(B159="",$I$6&lt;&gt;"Complete"),"",I158+E159+G159-H159)</x:f>
        <x:v>57000</x:v>
      </x:c>
      <x:c r="J159" s="37" t="n">
        <x:f>IF(OR(B159="",$I$6&lt;&gt;"Complete"),"",'Inputs'!$C$49)</x:f>
        <x:v>25000</x:v>
      </x:c>
      <x:c r="K159" s="37" t="n">
        <x:f>IF(OR(B159="",$I$6&lt;&gt;"Complete"),"",I159-J159)</x:f>
        <x:v>32000</x:v>
      </x:c>
      <x:c r="L159" s="61" t="n">
        <x:f>IF(OR(B159="",$I$6&lt;&gt;"Complete"),"",IF(K159&lt;0,1,0))</x:f>
        <x:v>0</x:v>
      </x:c>
    </x:row>
    <x:row r="160" ht="23" customHeight="1">
      <x:c r="A160" s="2"/>
      <x:c r="B160" s="60" t="n">
        <x:f>IF($D$6&lt;&gt;"Complete","",IF('Inputs'!$C$47+90&lt;=$D$9,'Inputs'!$C$47+90,""))</x:f>
        <x:v>46376</x:v>
      </x:c>
      <x:c r="C160" s="37" t="n">
        <x:f>IF(B160="","",SUMIFS($D$14:$D$23,$C$14:$C$23,B160))</x:f>
        <x:v>0</x:v>
      </x:c>
      <x:c r="D160" s="37" t="n">
        <x:f>IF(B160="","",SUMIFS($E$14:$E$23,$C$14:$C$23,B160))</x:f>
        <x:v>0</x:v>
      </x:c>
      <x:c r="E160" s="37" t="n">
        <x:f>IF(B160="","",C160-D160)</x:f>
        <x:v>0</x:v>
      </x:c>
      <x:c r="F160" s="37" t="n">
        <x:f>IF(B160="","",F159+E160)</x:f>
        <x:v>-23000</x:v>
      </x:c>
      <x:c r="G160" s="37" t="n">
        <x:f>IF(OR(B160="",$I$6&lt;&gt;"Complete"),"",SUMIFS($D$32:$D$51,$C$32:$C$51,B160,$I$32:$I$51,"Ready"))</x:f>
        <x:v>0</x:v>
      </x:c>
      <x:c r="H160" s="37" t="n">
        <x:f>IF(OR(B160="",$I$6&lt;&gt;"Complete"),"",SUMIFS($E$32:$E$51,$C$32:$C$51,B160,$I$32:$I$51,"Ready"))</x:f>
        <x:v>0</x:v>
      </x:c>
      <x:c r="I160" s="37" t="n">
        <x:f>IF(OR(B160="",$I$6&lt;&gt;"Complete"),"",I159+E160+G160-H160)</x:f>
        <x:v>57000</x:v>
      </x:c>
      <x:c r="J160" s="37" t="n">
        <x:f>IF(OR(B160="",$I$6&lt;&gt;"Complete"),"",'Inputs'!$C$49)</x:f>
        <x:v>25000</x:v>
      </x:c>
      <x:c r="K160" s="37" t="n">
        <x:f>IF(OR(B160="",$I$6&lt;&gt;"Complete"),"",I160-J160)</x:f>
        <x:v>32000</x:v>
      </x:c>
      <x:c r="L160" s="61" t="n">
        <x:f>IF(OR(B160="",$I$6&lt;&gt;"Complete"),"",IF(K160&lt;0,1,0))</x:f>
        <x:v>0</x:v>
      </x:c>
    </x:row>
    <x:row r="161" ht="23" customHeight="1">
      <x:c r="A161" s="2"/>
      <x:c r="B161" s="60" t="n">
        <x:f>IF($D$6&lt;&gt;"Complete","",IF('Inputs'!$C$47+91&lt;=$D$9,'Inputs'!$C$47+91,""))</x:f>
        <x:v>46377</x:v>
      </x:c>
      <x:c r="C161" s="37" t="n">
        <x:f>IF(B161="","",SUMIFS($D$14:$D$23,$C$14:$C$23,B161))</x:f>
        <x:v>0</x:v>
      </x:c>
      <x:c r="D161" s="37" t="n">
        <x:f>IF(B161="","",SUMIFS($E$14:$E$23,$C$14:$C$23,B161))</x:f>
        <x:v>0</x:v>
      </x:c>
      <x:c r="E161" s="37" t="n">
        <x:f>IF(B161="","",C161-D161)</x:f>
        <x:v>0</x:v>
      </x:c>
      <x:c r="F161" s="37" t="n">
        <x:f>IF(B161="","",F160+E161)</x:f>
        <x:v>-23000</x:v>
      </x:c>
      <x:c r="G161" s="37" t="n">
        <x:f>IF(OR(B161="",$I$6&lt;&gt;"Complete"),"",SUMIFS($D$32:$D$51,$C$32:$C$51,B161,$I$32:$I$51,"Ready"))</x:f>
        <x:v>0</x:v>
      </x:c>
      <x:c r="H161" s="37" t="n">
        <x:f>IF(OR(B161="",$I$6&lt;&gt;"Complete"),"",SUMIFS($E$32:$E$51,$C$32:$C$51,B161,$I$32:$I$51,"Ready"))</x:f>
        <x:v>0</x:v>
      </x:c>
      <x:c r="I161" s="37" t="n">
        <x:f>IF(OR(B161="",$I$6&lt;&gt;"Complete"),"",I160+E161+G161-H161)</x:f>
        <x:v>57000</x:v>
      </x:c>
      <x:c r="J161" s="37" t="n">
        <x:f>IF(OR(B161="",$I$6&lt;&gt;"Complete"),"",'Inputs'!$C$49)</x:f>
        <x:v>25000</x:v>
      </x:c>
      <x:c r="K161" s="37" t="n">
        <x:f>IF(OR(B161="",$I$6&lt;&gt;"Complete"),"",I161-J161)</x:f>
        <x:v>32000</x:v>
      </x:c>
      <x:c r="L161" s="61" t="n">
        <x:f>IF(OR(B161="",$I$6&lt;&gt;"Complete"),"",IF(K161&lt;0,1,0))</x:f>
        <x:v>0</x:v>
      </x:c>
    </x:row>
    <x:row r="162" ht="23" customHeight="1">
      <x:c r="A162" s="2"/>
      <x:c r="B162" s="60" t="n">
        <x:f>IF($D$6&lt;&gt;"Complete","",IF('Inputs'!$C$47+92&lt;=$D$9,'Inputs'!$C$47+92,""))</x:f>
        <x:v>46378</x:v>
      </x:c>
      <x:c r="C162" s="37" t="n">
        <x:f>IF(B162="","",SUMIFS($D$14:$D$23,$C$14:$C$23,B162))</x:f>
        <x:v>0</x:v>
      </x:c>
      <x:c r="D162" s="37" t="n">
        <x:f>IF(B162="","",SUMIFS($E$14:$E$23,$C$14:$C$23,B162))</x:f>
        <x:v>0</x:v>
      </x:c>
      <x:c r="E162" s="37" t="n">
        <x:f>IF(B162="","",C162-D162)</x:f>
        <x:v>0</x:v>
      </x:c>
      <x:c r="F162" s="37" t="n">
        <x:f>IF(B162="","",F161+E162)</x:f>
        <x:v>-23000</x:v>
      </x:c>
      <x:c r="G162" s="37" t="n">
        <x:f>IF(OR(B162="",$I$6&lt;&gt;"Complete"),"",SUMIFS($D$32:$D$51,$C$32:$C$51,B162,$I$32:$I$51,"Ready"))</x:f>
        <x:v>0</x:v>
      </x:c>
      <x:c r="H162" s="37" t="n">
        <x:f>IF(OR(B162="",$I$6&lt;&gt;"Complete"),"",SUMIFS($E$32:$E$51,$C$32:$C$51,B162,$I$32:$I$51,"Ready"))</x:f>
        <x:v>0</x:v>
      </x:c>
      <x:c r="I162" s="37" t="n">
        <x:f>IF(OR(B162="",$I$6&lt;&gt;"Complete"),"",I161+E162+G162-H162)</x:f>
        <x:v>57000</x:v>
      </x:c>
      <x:c r="J162" s="37" t="n">
        <x:f>IF(OR(B162="",$I$6&lt;&gt;"Complete"),"",'Inputs'!$C$49)</x:f>
        <x:v>25000</x:v>
      </x:c>
      <x:c r="K162" s="37" t="n">
        <x:f>IF(OR(B162="",$I$6&lt;&gt;"Complete"),"",I162-J162)</x:f>
        <x:v>32000</x:v>
      </x:c>
      <x:c r="L162" s="61" t="n">
        <x:f>IF(OR(B162="",$I$6&lt;&gt;"Complete"),"",IF(K162&lt;0,1,0))</x:f>
        <x:v>0</x:v>
      </x:c>
    </x:row>
    <x:row r="163" ht="23" customHeight="1">
      <x:c r="A163" s="2"/>
      <x:c r="B163" s="60" t="n">
        <x:f>IF($D$6&lt;&gt;"Complete","",IF('Inputs'!$C$47+93&lt;=$D$9,'Inputs'!$C$47+93,""))</x:f>
        <x:v>46379</x:v>
      </x:c>
      <x:c r="C163" s="37" t="n">
        <x:f>IF(B163="","",SUMIFS($D$14:$D$23,$C$14:$C$23,B163))</x:f>
        <x:v>0</x:v>
      </x:c>
      <x:c r="D163" s="37" t="n">
        <x:f>IF(B163="","",SUMIFS($E$14:$E$23,$C$14:$C$23,B163))</x:f>
        <x:v>0</x:v>
      </x:c>
      <x:c r="E163" s="37" t="n">
        <x:f>IF(B163="","",C163-D163)</x:f>
        <x:v>0</x:v>
      </x:c>
      <x:c r="F163" s="37" t="n">
        <x:f>IF(B163="","",F162+E163)</x:f>
        <x:v>-23000</x:v>
      </x:c>
      <x:c r="G163" s="37" t="n">
        <x:f>IF(OR(B163="",$I$6&lt;&gt;"Complete"),"",SUMIFS($D$32:$D$51,$C$32:$C$51,B163,$I$32:$I$51,"Ready"))</x:f>
        <x:v>0</x:v>
      </x:c>
      <x:c r="H163" s="37" t="n">
        <x:f>IF(OR(B163="",$I$6&lt;&gt;"Complete"),"",SUMIFS($E$32:$E$51,$C$32:$C$51,B163,$I$32:$I$51,"Ready"))</x:f>
        <x:v>0</x:v>
      </x:c>
      <x:c r="I163" s="37" t="n">
        <x:f>IF(OR(B163="",$I$6&lt;&gt;"Complete"),"",I162+E163+G163-H163)</x:f>
        <x:v>57000</x:v>
      </x:c>
      <x:c r="J163" s="37" t="n">
        <x:f>IF(OR(B163="",$I$6&lt;&gt;"Complete"),"",'Inputs'!$C$49)</x:f>
        <x:v>25000</x:v>
      </x:c>
      <x:c r="K163" s="37" t="n">
        <x:f>IF(OR(B163="",$I$6&lt;&gt;"Complete"),"",I163-J163)</x:f>
        <x:v>32000</x:v>
      </x:c>
      <x:c r="L163" s="61" t="n">
        <x:f>IF(OR(B163="",$I$6&lt;&gt;"Complete"),"",IF(K163&lt;0,1,0))</x:f>
        <x:v>0</x:v>
      </x:c>
    </x:row>
    <x:row r="164" ht="23" customHeight="1">
      <x:c r="A164" s="2"/>
      <x:c r="B164" s="60" t="n">
        <x:f>IF($D$6&lt;&gt;"Complete","",IF('Inputs'!$C$47+94&lt;=$D$9,'Inputs'!$C$47+94,""))</x:f>
        <x:v>46380</x:v>
      </x:c>
      <x:c r="C164" s="37" t="n">
        <x:f>IF(B164="","",SUMIFS($D$14:$D$23,$C$14:$C$23,B164))</x:f>
        <x:v>0</x:v>
      </x:c>
      <x:c r="D164" s="37" t="n">
        <x:f>IF(B164="","",SUMIFS($E$14:$E$23,$C$14:$C$23,B164))</x:f>
        <x:v>0</x:v>
      </x:c>
      <x:c r="E164" s="37" t="n">
        <x:f>IF(B164="","",C164-D164)</x:f>
        <x:v>0</x:v>
      </x:c>
      <x:c r="F164" s="37" t="n">
        <x:f>IF(B164="","",F163+E164)</x:f>
        <x:v>-23000</x:v>
      </x:c>
      <x:c r="G164" s="37" t="n">
        <x:f>IF(OR(B164="",$I$6&lt;&gt;"Complete"),"",SUMIFS($D$32:$D$51,$C$32:$C$51,B164,$I$32:$I$51,"Ready"))</x:f>
        <x:v>0</x:v>
      </x:c>
      <x:c r="H164" s="37" t="n">
        <x:f>IF(OR(B164="",$I$6&lt;&gt;"Complete"),"",SUMIFS($E$32:$E$51,$C$32:$C$51,B164,$I$32:$I$51,"Ready"))</x:f>
        <x:v>0</x:v>
      </x:c>
      <x:c r="I164" s="37" t="n">
        <x:f>IF(OR(B164="",$I$6&lt;&gt;"Complete"),"",I163+E164+G164-H164)</x:f>
        <x:v>57000</x:v>
      </x:c>
      <x:c r="J164" s="37" t="n">
        <x:f>IF(OR(B164="",$I$6&lt;&gt;"Complete"),"",'Inputs'!$C$49)</x:f>
        <x:v>25000</x:v>
      </x:c>
      <x:c r="K164" s="37" t="n">
        <x:f>IF(OR(B164="",$I$6&lt;&gt;"Complete"),"",I164-J164)</x:f>
        <x:v>32000</x:v>
      </x:c>
      <x:c r="L164" s="61" t="n">
        <x:f>IF(OR(B164="",$I$6&lt;&gt;"Complete"),"",IF(K164&lt;0,1,0))</x:f>
        <x:v>0</x:v>
      </x:c>
    </x:row>
    <x:row r="165" ht="23" customHeight="1">
      <x:c r="A165" s="2"/>
      <x:c r="B165" s="60" t="n">
        <x:f>IF($D$6&lt;&gt;"Complete","",IF('Inputs'!$C$47+95&lt;=$D$9,'Inputs'!$C$47+95,""))</x:f>
        <x:v>46381</x:v>
      </x:c>
      <x:c r="C165" s="37" t="n">
        <x:f>IF(B165="","",SUMIFS($D$14:$D$23,$C$14:$C$23,B165))</x:f>
        <x:v>0</x:v>
      </x:c>
      <x:c r="D165" s="37" t="n">
        <x:f>IF(B165="","",SUMIFS($E$14:$E$23,$C$14:$C$23,B165))</x:f>
        <x:v>0</x:v>
      </x:c>
      <x:c r="E165" s="37" t="n">
        <x:f>IF(B165="","",C165-D165)</x:f>
        <x:v>0</x:v>
      </x:c>
      <x:c r="F165" s="37" t="n">
        <x:f>IF(B165="","",F164+E165)</x:f>
        <x:v>-23000</x:v>
      </x:c>
      <x:c r="G165" s="37" t="n">
        <x:f>IF(OR(B165="",$I$6&lt;&gt;"Complete"),"",SUMIFS($D$32:$D$51,$C$32:$C$51,B165,$I$32:$I$51,"Ready"))</x:f>
        <x:v>0</x:v>
      </x:c>
      <x:c r="H165" s="37" t="n">
        <x:f>IF(OR(B165="",$I$6&lt;&gt;"Complete"),"",SUMIFS($E$32:$E$51,$C$32:$C$51,B165,$I$32:$I$51,"Ready"))</x:f>
        <x:v>0</x:v>
      </x:c>
      <x:c r="I165" s="37" t="n">
        <x:f>IF(OR(B165="",$I$6&lt;&gt;"Complete"),"",I164+E165+G165-H165)</x:f>
        <x:v>57000</x:v>
      </x:c>
      <x:c r="J165" s="37" t="n">
        <x:f>IF(OR(B165="",$I$6&lt;&gt;"Complete"),"",'Inputs'!$C$49)</x:f>
        <x:v>25000</x:v>
      </x:c>
      <x:c r="K165" s="37" t="n">
        <x:f>IF(OR(B165="",$I$6&lt;&gt;"Complete"),"",I165-J165)</x:f>
        <x:v>32000</x:v>
      </x:c>
      <x:c r="L165" s="61" t="n">
        <x:f>IF(OR(B165="",$I$6&lt;&gt;"Complete"),"",IF(K165&lt;0,1,0))</x:f>
        <x:v>0</x:v>
      </x:c>
    </x:row>
    <x:row r="166" ht="23" customHeight="1">
      <x:c r="A166" s="2"/>
      <x:c r="B166" s="60" t="n">
        <x:f>IF($D$6&lt;&gt;"Complete","",IF('Inputs'!$C$47+96&lt;=$D$9,'Inputs'!$C$47+96,""))</x:f>
        <x:v>46382</x:v>
      </x:c>
      <x:c r="C166" s="37" t="n">
        <x:f>IF(B166="","",SUMIFS($D$14:$D$23,$C$14:$C$23,B166))</x:f>
        <x:v>0</x:v>
      </x:c>
      <x:c r="D166" s="37" t="n">
        <x:f>IF(B166="","",SUMIFS($E$14:$E$23,$C$14:$C$23,B166))</x:f>
        <x:v>0</x:v>
      </x:c>
      <x:c r="E166" s="37" t="n">
        <x:f>IF(B166="","",C166-D166)</x:f>
        <x:v>0</x:v>
      </x:c>
      <x:c r="F166" s="37" t="n">
        <x:f>IF(B166="","",F165+E166)</x:f>
        <x:v>-23000</x:v>
      </x:c>
      <x:c r="G166" s="37" t="n">
        <x:f>IF(OR(B166="",$I$6&lt;&gt;"Complete"),"",SUMIFS($D$32:$D$51,$C$32:$C$51,B166,$I$32:$I$51,"Ready"))</x:f>
        <x:v>0</x:v>
      </x:c>
      <x:c r="H166" s="37" t="n">
        <x:f>IF(OR(B166="",$I$6&lt;&gt;"Complete"),"",SUMIFS($E$32:$E$51,$C$32:$C$51,B166,$I$32:$I$51,"Ready"))</x:f>
        <x:v>0</x:v>
      </x:c>
      <x:c r="I166" s="37" t="n">
        <x:f>IF(OR(B166="",$I$6&lt;&gt;"Complete"),"",I165+E166+G166-H166)</x:f>
        <x:v>57000</x:v>
      </x:c>
      <x:c r="J166" s="37" t="n">
        <x:f>IF(OR(B166="",$I$6&lt;&gt;"Complete"),"",'Inputs'!$C$49)</x:f>
        <x:v>25000</x:v>
      </x:c>
      <x:c r="K166" s="37" t="n">
        <x:f>IF(OR(B166="",$I$6&lt;&gt;"Complete"),"",I166-J166)</x:f>
        <x:v>32000</x:v>
      </x:c>
      <x:c r="L166" s="61" t="n">
        <x:f>IF(OR(B166="",$I$6&lt;&gt;"Complete"),"",IF(K166&lt;0,1,0))</x:f>
        <x:v>0</x:v>
      </x:c>
    </x:row>
    <x:row r="167" ht="23" customHeight="1">
      <x:c r="A167" s="2"/>
      <x:c r="B167" s="60" t="n">
        <x:f>IF($D$6&lt;&gt;"Complete","",IF('Inputs'!$C$47+97&lt;=$D$9,'Inputs'!$C$47+97,""))</x:f>
        <x:v>46383</x:v>
      </x:c>
      <x:c r="C167" s="37" t="n">
        <x:f>IF(B167="","",SUMIFS($D$14:$D$23,$C$14:$C$23,B167))</x:f>
        <x:v>0</x:v>
      </x:c>
      <x:c r="D167" s="37" t="n">
        <x:f>IF(B167="","",SUMIFS($E$14:$E$23,$C$14:$C$23,B167))</x:f>
        <x:v>0</x:v>
      </x:c>
      <x:c r="E167" s="37" t="n">
        <x:f>IF(B167="","",C167-D167)</x:f>
        <x:v>0</x:v>
      </x:c>
      <x:c r="F167" s="37" t="n">
        <x:f>IF(B167="","",F166+E167)</x:f>
        <x:v>-23000</x:v>
      </x:c>
      <x:c r="G167" s="37" t="n">
        <x:f>IF(OR(B167="",$I$6&lt;&gt;"Complete"),"",SUMIFS($D$32:$D$51,$C$32:$C$51,B167,$I$32:$I$51,"Ready"))</x:f>
        <x:v>0</x:v>
      </x:c>
      <x:c r="H167" s="37" t="n">
        <x:f>IF(OR(B167="",$I$6&lt;&gt;"Complete"),"",SUMIFS($E$32:$E$51,$C$32:$C$51,B167,$I$32:$I$51,"Ready"))</x:f>
        <x:v>0</x:v>
      </x:c>
      <x:c r="I167" s="37" t="n">
        <x:f>IF(OR(B167="",$I$6&lt;&gt;"Complete"),"",I166+E167+G167-H167)</x:f>
        <x:v>57000</x:v>
      </x:c>
      <x:c r="J167" s="37" t="n">
        <x:f>IF(OR(B167="",$I$6&lt;&gt;"Complete"),"",'Inputs'!$C$49)</x:f>
        <x:v>25000</x:v>
      </x:c>
      <x:c r="K167" s="37" t="n">
        <x:f>IF(OR(B167="",$I$6&lt;&gt;"Complete"),"",I167-J167)</x:f>
        <x:v>32000</x:v>
      </x:c>
      <x:c r="L167" s="61" t="n">
        <x:f>IF(OR(B167="",$I$6&lt;&gt;"Complete"),"",IF(K167&lt;0,1,0))</x:f>
        <x:v>0</x:v>
      </x:c>
    </x:row>
    <x:row r="168" ht="23" customHeight="1">
      <x:c r="A168" s="2"/>
      <x:c r="B168" s="60" t="n">
        <x:f>IF($D$6&lt;&gt;"Complete","",IF('Inputs'!$C$47+98&lt;=$D$9,'Inputs'!$C$47+98,""))</x:f>
        <x:v>46384</x:v>
      </x:c>
      <x:c r="C168" s="37" t="n">
        <x:f>IF(B168="","",SUMIFS($D$14:$D$23,$C$14:$C$23,B168))</x:f>
        <x:v>0</x:v>
      </x:c>
      <x:c r="D168" s="37" t="n">
        <x:f>IF(B168="","",SUMIFS($E$14:$E$23,$C$14:$C$23,B168))</x:f>
        <x:v>0</x:v>
      </x:c>
      <x:c r="E168" s="37" t="n">
        <x:f>IF(B168="","",C168-D168)</x:f>
        <x:v>0</x:v>
      </x:c>
      <x:c r="F168" s="37" t="n">
        <x:f>IF(B168="","",F167+E168)</x:f>
        <x:v>-23000</x:v>
      </x:c>
      <x:c r="G168" s="37" t="n">
        <x:f>IF(OR(B168="",$I$6&lt;&gt;"Complete"),"",SUMIFS($D$32:$D$51,$C$32:$C$51,B168,$I$32:$I$51,"Ready"))</x:f>
        <x:v>0</x:v>
      </x:c>
      <x:c r="H168" s="37" t="n">
        <x:f>IF(OR(B168="",$I$6&lt;&gt;"Complete"),"",SUMIFS($E$32:$E$51,$C$32:$C$51,B168,$I$32:$I$51,"Ready"))</x:f>
        <x:v>0</x:v>
      </x:c>
      <x:c r="I168" s="37" t="n">
        <x:f>IF(OR(B168="",$I$6&lt;&gt;"Complete"),"",I167+E168+G168-H168)</x:f>
        <x:v>57000</x:v>
      </x:c>
      <x:c r="J168" s="37" t="n">
        <x:f>IF(OR(B168="",$I$6&lt;&gt;"Complete"),"",'Inputs'!$C$49)</x:f>
        <x:v>25000</x:v>
      </x:c>
      <x:c r="K168" s="37" t="n">
        <x:f>IF(OR(B168="",$I$6&lt;&gt;"Complete"),"",I168-J168)</x:f>
        <x:v>32000</x:v>
      </x:c>
      <x:c r="L168" s="61" t="n">
        <x:f>IF(OR(B168="",$I$6&lt;&gt;"Complete"),"",IF(K168&lt;0,1,0))</x:f>
        <x:v>0</x:v>
      </x:c>
    </x:row>
    <x:row r="169" ht="23" customHeight="1">
      <x:c r="A169" s="2"/>
      <x:c r="B169" s="60" t="n">
        <x:f>IF($D$6&lt;&gt;"Complete","",IF('Inputs'!$C$47+99&lt;=$D$9,'Inputs'!$C$47+99,""))</x:f>
        <x:v>46385</x:v>
      </x:c>
      <x:c r="C169" s="37" t="n">
        <x:f>IF(B169="","",SUMIFS($D$14:$D$23,$C$14:$C$23,B169))</x:f>
        <x:v>0</x:v>
      </x:c>
      <x:c r="D169" s="37" t="n">
        <x:f>IF(B169="","",SUMIFS($E$14:$E$23,$C$14:$C$23,B169))</x:f>
        <x:v>0</x:v>
      </x:c>
      <x:c r="E169" s="37" t="n">
        <x:f>IF(B169="","",C169-D169)</x:f>
        <x:v>0</x:v>
      </x:c>
      <x:c r="F169" s="37" t="n">
        <x:f>IF(B169="","",F168+E169)</x:f>
        <x:v>-23000</x:v>
      </x:c>
      <x:c r="G169" s="37" t="n">
        <x:f>IF(OR(B169="",$I$6&lt;&gt;"Complete"),"",SUMIFS($D$32:$D$51,$C$32:$C$51,B169,$I$32:$I$51,"Ready"))</x:f>
        <x:v>0</x:v>
      </x:c>
      <x:c r="H169" s="37" t="n">
        <x:f>IF(OR(B169="",$I$6&lt;&gt;"Complete"),"",SUMIFS($E$32:$E$51,$C$32:$C$51,B169,$I$32:$I$51,"Ready"))</x:f>
        <x:v>0</x:v>
      </x:c>
      <x:c r="I169" s="37" t="n">
        <x:f>IF(OR(B169="",$I$6&lt;&gt;"Complete"),"",I168+E169+G169-H169)</x:f>
        <x:v>57000</x:v>
      </x:c>
      <x:c r="J169" s="37" t="n">
        <x:f>IF(OR(B169="",$I$6&lt;&gt;"Complete"),"",'Inputs'!$C$49)</x:f>
        <x:v>25000</x:v>
      </x:c>
      <x:c r="K169" s="37" t="n">
        <x:f>IF(OR(B169="",$I$6&lt;&gt;"Complete"),"",I169-J169)</x:f>
        <x:v>32000</x:v>
      </x:c>
      <x:c r="L169" s="61" t="n">
        <x:f>IF(OR(B169="",$I$6&lt;&gt;"Complete"),"",IF(K169&lt;0,1,0))</x:f>
        <x:v>0</x:v>
      </x:c>
    </x:row>
    <x:row r="170" ht="23" customHeight="1">
      <x:c r="A170" s="2"/>
      <x:c r="B170" s="60" t="n">
        <x:f>IF($D$6&lt;&gt;"Complete","",IF('Inputs'!$C$47+100&lt;=$D$9,'Inputs'!$C$47+100,""))</x:f>
        <x:v>46386</x:v>
      </x:c>
      <x:c r="C170" s="37" t="n">
        <x:f>IF(B170="","",SUMIFS($D$14:$D$23,$C$14:$C$23,B170))</x:f>
        <x:v>0</x:v>
      </x:c>
      <x:c r="D170" s="37" t="n">
        <x:f>IF(B170="","",SUMIFS($E$14:$E$23,$C$14:$C$23,B170))</x:f>
        <x:v>0</x:v>
      </x:c>
      <x:c r="E170" s="37" t="n">
        <x:f>IF(B170="","",C170-D170)</x:f>
        <x:v>0</x:v>
      </x:c>
      <x:c r="F170" s="37" t="n">
        <x:f>IF(B170="","",F169+E170)</x:f>
        <x:v>-23000</x:v>
      </x:c>
      <x:c r="G170" s="37" t="n">
        <x:f>IF(OR(B170="",$I$6&lt;&gt;"Complete"),"",SUMIFS($D$32:$D$51,$C$32:$C$51,B170,$I$32:$I$51,"Ready"))</x:f>
        <x:v>0</x:v>
      </x:c>
      <x:c r="H170" s="37" t="n">
        <x:f>IF(OR(B170="",$I$6&lt;&gt;"Complete"),"",SUMIFS($E$32:$E$51,$C$32:$C$51,B170,$I$32:$I$51,"Ready"))</x:f>
        <x:v>0</x:v>
      </x:c>
      <x:c r="I170" s="37" t="n">
        <x:f>IF(OR(B170="",$I$6&lt;&gt;"Complete"),"",I169+E170+G170-H170)</x:f>
        <x:v>57000</x:v>
      </x:c>
      <x:c r="J170" s="37" t="n">
        <x:f>IF(OR(B170="",$I$6&lt;&gt;"Complete"),"",'Inputs'!$C$49)</x:f>
        <x:v>25000</x:v>
      </x:c>
      <x:c r="K170" s="37" t="n">
        <x:f>IF(OR(B170="",$I$6&lt;&gt;"Complete"),"",I170-J170)</x:f>
        <x:v>32000</x:v>
      </x:c>
      <x:c r="L170" s="61" t="n">
        <x:f>IF(OR(B170="",$I$6&lt;&gt;"Complete"),"",IF(K170&lt;0,1,0))</x:f>
        <x:v>0</x:v>
      </x:c>
    </x:row>
    <x:row r="171" ht="23" customHeight="1">
      <x:c r="A171" s="2"/>
      <x:c r="B171" s="60" t="n">
        <x:f>IF($D$6&lt;&gt;"Complete","",IF('Inputs'!$C$47+101&lt;=$D$9,'Inputs'!$C$47+101,""))</x:f>
        <x:v>46387</x:v>
      </x:c>
      <x:c r="C171" s="37" t="n">
        <x:f>IF(B171="","",SUMIFS($D$14:$D$23,$C$14:$C$23,B171))</x:f>
        <x:v>0</x:v>
      </x:c>
      <x:c r="D171" s="37" t="n">
        <x:f>IF(B171="","",SUMIFS($E$14:$E$23,$C$14:$C$23,B171))</x:f>
        <x:v>0</x:v>
      </x:c>
      <x:c r="E171" s="37" t="n">
        <x:f>IF(B171="","",C171-D171)</x:f>
        <x:v>0</x:v>
      </x:c>
      <x:c r="F171" s="37" t="n">
        <x:f>IF(B171="","",F170+E171)</x:f>
        <x:v>-23000</x:v>
      </x:c>
      <x:c r="G171" s="37" t="n">
        <x:f>IF(OR(B171="",$I$6&lt;&gt;"Complete"),"",SUMIFS($D$32:$D$51,$C$32:$C$51,B171,$I$32:$I$51,"Ready"))</x:f>
        <x:v>0</x:v>
      </x:c>
      <x:c r="H171" s="37" t="n">
        <x:f>IF(OR(B171="",$I$6&lt;&gt;"Complete"),"",SUMIFS($E$32:$E$51,$C$32:$C$51,B171,$I$32:$I$51,"Ready"))</x:f>
        <x:v>0</x:v>
      </x:c>
      <x:c r="I171" s="37" t="n">
        <x:f>IF(OR(B171="",$I$6&lt;&gt;"Complete"),"",I170+E171+G171-H171)</x:f>
        <x:v>57000</x:v>
      </x:c>
      <x:c r="J171" s="37" t="n">
        <x:f>IF(OR(B171="",$I$6&lt;&gt;"Complete"),"",'Inputs'!$C$49)</x:f>
        <x:v>25000</x:v>
      </x:c>
      <x:c r="K171" s="37" t="n">
        <x:f>IF(OR(B171="",$I$6&lt;&gt;"Complete"),"",I171-J171)</x:f>
        <x:v>32000</x:v>
      </x:c>
      <x:c r="L171" s="61" t="n">
        <x:f>IF(OR(B171="",$I$6&lt;&gt;"Complete"),"",IF(K171&lt;0,1,0))</x:f>
        <x:v>0</x:v>
      </x:c>
    </x:row>
    <x:row r="172" ht="23" customHeight="1">
      <x:c r="A172" s="2"/>
      <x:c r="B172" s="60" t="n">
        <x:f>IF($D$6&lt;&gt;"Complete","",IF('Inputs'!$C$47+102&lt;=$D$9,'Inputs'!$C$47+102,""))</x:f>
        <x:v>46388</x:v>
      </x:c>
      <x:c r="C172" s="37" t="n">
        <x:f>IF(B172="","",SUMIFS($D$14:$D$23,$C$14:$C$23,B172))</x:f>
        <x:v>0</x:v>
      </x:c>
      <x:c r="D172" s="37" t="n">
        <x:f>IF(B172="","",SUMIFS($E$14:$E$23,$C$14:$C$23,B172))</x:f>
        <x:v>0</x:v>
      </x:c>
      <x:c r="E172" s="37" t="n">
        <x:f>IF(B172="","",C172-D172)</x:f>
        <x:v>0</x:v>
      </x:c>
      <x:c r="F172" s="37" t="n">
        <x:f>IF(B172="","",F171+E172)</x:f>
        <x:v>-23000</x:v>
      </x:c>
      <x:c r="G172" s="37" t="n">
        <x:f>IF(OR(B172="",$I$6&lt;&gt;"Complete"),"",SUMIFS($D$32:$D$51,$C$32:$C$51,B172,$I$32:$I$51,"Ready"))</x:f>
        <x:v>0</x:v>
      </x:c>
      <x:c r="H172" s="37" t="n">
        <x:f>IF(OR(B172="",$I$6&lt;&gt;"Complete"),"",SUMIFS($E$32:$E$51,$C$32:$C$51,B172,$I$32:$I$51,"Ready"))</x:f>
        <x:v>0</x:v>
      </x:c>
      <x:c r="I172" s="37" t="n">
        <x:f>IF(OR(B172="",$I$6&lt;&gt;"Complete"),"",I171+E172+G172-H172)</x:f>
        <x:v>57000</x:v>
      </x:c>
      <x:c r="J172" s="37" t="n">
        <x:f>IF(OR(B172="",$I$6&lt;&gt;"Complete"),"",'Inputs'!$C$49)</x:f>
        <x:v>25000</x:v>
      </x:c>
      <x:c r="K172" s="37" t="n">
        <x:f>IF(OR(B172="",$I$6&lt;&gt;"Complete"),"",I172-J172)</x:f>
        <x:v>32000</x:v>
      </x:c>
      <x:c r="L172" s="61" t="n">
        <x:f>IF(OR(B172="",$I$6&lt;&gt;"Complete"),"",IF(K172&lt;0,1,0))</x:f>
        <x:v>0</x:v>
      </x:c>
    </x:row>
    <x:row r="173" ht="23" customHeight="1">
      <x:c r="A173" s="2"/>
      <x:c r="B173" s="60" t="n">
        <x:f>IF($D$6&lt;&gt;"Complete","",IF('Inputs'!$C$47+103&lt;=$D$9,'Inputs'!$C$47+103,""))</x:f>
        <x:v>46389</x:v>
      </x:c>
      <x:c r="C173" s="37" t="n">
        <x:f>IF(B173="","",SUMIFS($D$14:$D$23,$C$14:$C$23,B173))</x:f>
        <x:v>0</x:v>
      </x:c>
      <x:c r="D173" s="37" t="n">
        <x:f>IF(B173="","",SUMIFS($E$14:$E$23,$C$14:$C$23,B173))</x:f>
        <x:v>0</x:v>
      </x:c>
      <x:c r="E173" s="37" t="n">
        <x:f>IF(B173="","",C173-D173)</x:f>
        <x:v>0</x:v>
      </x:c>
      <x:c r="F173" s="37" t="n">
        <x:f>IF(B173="","",F172+E173)</x:f>
        <x:v>-23000</x:v>
      </x:c>
      <x:c r="G173" s="37" t="n">
        <x:f>IF(OR(B173="",$I$6&lt;&gt;"Complete"),"",SUMIFS($D$32:$D$51,$C$32:$C$51,B173,$I$32:$I$51,"Ready"))</x:f>
        <x:v>0</x:v>
      </x:c>
      <x:c r="H173" s="37" t="n">
        <x:f>IF(OR(B173="",$I$6&lt;&gt;"Complete"),"",SUMIFS($E$32:$E$51,$C$32:$C$51,B173,$I$32:$I$51,"Ready"))</x:f>
        <x:v>0</x:v>
      </x:c>
      <x:c r="I173" s="37" t="n">
        <x:f>IF(OR(B173="",$I$6&lt;&gt;"Complete"),"",I172+E173+G173-H173)</x:f>
        <x:v>57000</x:v>
      </x:c>
      <x:c r="J173" s="37" t="n">
        <x:f>IF(OR(B173="",$I$6&lt;&gt;"Complete"),"",'Inputs'!$C$49)</x:f>
        <x:v>25000</x:v>
      </x:c>
      <x:c r="K173" s="37" t="n">
        <x:f>IF(OR(B173="",$I$6&lt;&gt;"Complete"),"",I173-J173)</x:f>
        <x:v>32000</x:v>
      </x:c>
      <x:c r="L173" s="61" t="n">
        <x:f>IF(OR(B173="",$I$6&lt;&gt;"Complete"),"",IF(K173&lt;0,1,0))</x:f>
        <x:v>0</x:v>
      </x:c>
    </x:row>
    <x:row r="174" ht="23" customHeight="1">
      <x:c r="A174" s="2"/>
      <x:c r="B174" s="60" t="n">
        <x:f>IF($D$6&lt;&gt;"Complete","",IF('Inputs'!$C$47+104&lt;=$D$9,'Inputs'!$C$47+104,""))</x:f>
        <x:v>46390</x:v>
      </x:c>
      <x:c r="C174" s="37" t="n">
        <x:f>IF(B174="","",SUMIFS($D$14:$D$23,$C$14:$C$23,B174))</x:f>
        <x:v>0</x:v>
      </x:c>
      <x:c r="D174" s="37" t="n">
        <x:f>IF(B174="","",SUMIFS($E$14:$E$23,$C$14:$C$23,B174))</x:f>
        <x:v>0</x:v>
      </x:c>
      <x:c r="E174" s="37" t="n">
        <x:f>IF(B174="","",C174-D174)</x:f>
        <x:v>0</x:v>
      </x:c>
      <x:c r="F174" s="37" t="n">
        <x:f>IF(B174="","",F173+E174)</x:f>
        <x:v>-23000</x:v>
      </x:c>
      <x:c r="G174" s="37" t="n">
        <x:f>IF(OR(B174="",$I$6&lt;&gt;"Complete"),"",SUMIFS($D$32:$D$51,$C$32:$C$51,B174,$I$32:$I$51,"Ready"))</x:f>
        <x:v>0</x:v>
      </x:c>
      <x:c r="H174" s="37" t="n">
        <x:f>IF(OR(B174="",$I$6&lt;&gt;"Complete"),"",SUMIFS($E$32:$E$51,$C$32:$C$51,B174,$I$32:$I$51,"Ready"))</x:f>
        <x:v>0</x:v>
      </x:c>
      <x:c r="I174" s="37" t="n">
        <x:f>IF(OR(B174="",$I$6&lt;&gt;"Complete"),"",I173+E174+G174-H174)</x:f>
        <x:v>57000</x:v>
      </x:c>
      <x:c r="J174" s="37" t="n">
        <x:f>IF(OR(B174="",$I$6&lt;&gt;"Complete"),"",'Inputs'!$C$49)</x:f>
        <x:v>25000</x:v>
      </x:c>
      <x:c r="K174" s="37" t="n">
        <x:f>IF(OR(B174="",$I$6&lt;&gt;"Complete"),"",I174-J174)</x:f>
        <x:v>32000</x:v>
      </x:c>
      <x:c r="L174" s="61" t="n">
        <x:f>IF(OR(B174="",$I$6&lt;&gt;"Complete"),"",IF(K174&lt;0,1,0))</x:f>
        <x:v>0</x:v>
      </x:c>
    </x:row>
    <x:row r="175" ht="23" customHeight="1">
      <x:c r="A175" s="2"/>
      <x:c r="B175" s="60" t="n">
        <x:f>IF($D$6&lt;&gt;"Complete","",IF('Inputs'!$C$47+105&lt;=$D$9,'Inputs'!$C$47+105,""))</x:f>
        <x:v>46391</x:v>
      </x:c>
      <x:c r="C175" s="37" t="n">
        <x:f>IF(B175="","",SUMIFS($D$14:$D$23,$C$14:$C$23,B175))</x:f>
        <x:v>0</x:v>
      </x:c>
      <x:c r="D175" s="37" t="n">
        <x:f>IF(B175="","",SUMIFS($E$14:$E$23,$C$14:$C$23,B175))</x:f>
        <x:v>0</x:v>
      </x:c>
      <x:c r="E175" s="37" t="n">
        <x:f>IF(B175="","",C175-D175)</x:f>
        <x:v>0</x:v>
      </x:c>
      <x:c r="F175" s="37" t="n">
        <x:f>IF(B175="","",F174+E175)</x:f>
        <x:v>-23000</x:v>
      </x:c>
      <x:c r="G175" s="37" t="n">
        <x:f>IF(OR(B175="",$I$6&lt;&gt;"Complete"),"",SUMIFS($D$32:$D$51,$C$32:$C$51,B175,$I$32:$I$51,"Ready"))</x:f>
        <x:v>0</x:v>
      </x:c>
      <x:c r="H175" s="37" t="n">
        <x:f>IF(OR(B175="",$I$6&lt;&gt;"Complete"),"",SUMIFS($E$32:$E$51,$C$32:$C$51,B175,$I$32:$I$51,"Ready"))</x:f>
        <x:v>0</x:v>
      </x:c>
      <x:c r="I175" s="37" t="n">
        <x:f>IF(OR(B175="",$I$6&lt;&gt;"Complete"),"",I174+E175+G175-H175)</x:f>
        <x:v>57000</x:v>
      </x:c>
      <x:c r="J175" s="37" t="n">
        <x:f>IF(OR(B175="",$I$6&lt;&gt;"Complete"),"",'Inputs'!$C$49)</x:f>
        <x:v>25000</x:v>
      </x:c>
      <x:c r="K175" s="37" t="n">
        <x:f>IF(OR(B175="",$I$6&lt;&gt;"Complete"),"",I175-J175)</x:f>
        <x:v>32000</x:v>
      </x:c>
      <x:c r="L175" s="61" t="n">
        <x:f>IF(OR(B175="",$I$6&lt;&gt;"Complete"),"",IF(K175&lt;0,1,0))</x:f>
        <x:v>0</x:v>
      </x:c>
    </x:row>
    <x:row r="176" ht="23" customHeight="1">
      <x:c r="A176" s="2"/>
      <x:c r="B176" s="60" t="n">
        <x:f>IF($D$6&lt;&gt;"Complete","",IF('Inputs'!$C$47+106&lt;=$D$9,'Inputs'!$C$47+106,""))</x:f>
        <x:v>46392</x:v>
      </x:c>
      <x:c r="C176" s="37" t="n">
        <x:f>IF(B176="","",SUMIFS($D$14:$D$23,$C$14:$C$23,B176))</x:f>
        <x:v>0</x:v>
      </x:c>
      <x:c r="D176" s="37" t="n">
        <x:f>IF(B176="","",SUMIFS($E$14:$E$23,$C$14:$C$23,B176))</x:f>
        <x:v>0</x:v>
      </x:c>
      <x:c r="E176" s="37" t="n">
        <x:f>IF(B176="","",C176-D176)</x:f>
        <x:v>0</x:v>
      </x:c>
      <x:c r="F176" s="37" t="n">
        <x:f>IF(B176="","",F175+E176)</x:f>
        <x:v>-23000</x:v>
      </x:c>
      <x:c r="G176" s="37" t="n">
        <x:f>IF(OR(B176="",$I$6&lt;&gt;"Complete"),"",SUMIFS($D$32:$D$51,$C$32:$C$51,B176,$I$32:$I$51,"Ready"))</x:f>
        <x:v>0</x:v>
      </x:c>
      <x:c r="H176" s="37" t="n">
        <x:f>IF(OR(B176="",$I$6&lt;&gt;"Complete"),"",SUMIFS($E$32:$E$51,$C$32:$C$51,B176,$I$32:$I$51,"Ready"))</x:f>
        <x:v>0</x:v>
      </x:c>
      <x:c r="I176" s="37" t="n">
        <x:f>IF(OR(B176="",$I$6&lt;&gt;"Complete"),"",I175+E176+G176-H176)</x:f>
        <x:v>57000</x:v>
      </x:c>
      <x:c r="J176" s="37" t="n">
        <x:f>IF(OR(B176="",$I$6&lt;&gt;"Complete"),"",'Inputs'!$C$49)</x:f>
        <x:v>25000</x:v>
      </x:c>
      <x:c r="K176" s="37" t="n">
        <x:f>IF(OR(B176="",$I$6&lt;&gt;"Complete"),"",I176-J176)</x:f>
        <x:v>32000</x:v>
      </x:c>
      <x:c r="L176" s="61" t="n">
        <x:f>IF(OR(B176="",$I$6&lt;&gt;"Complete"),"",IF(K176&lt;0,1,0))</x:f>
        <x:v>0</x:v>
      </x:c>
    </x:row>
    <x:row r="177" ht="23" customHeight="1">
      <x:c r="A177" s="2"/>
      <x:c r="B177" s="60" t="n">
        <x:f>IF($D$6&lt;&gt;"Complete","",IF('Inputs'!$C$47+107&lt;=$D$9,'Inputs'!$C$47+107,""))</x:f>
        <x:v>46393</x:v>
      </x:c>
      <x:c r="C177" s="37" t="n">
        <x:f>IF(B177="","",SUMIFS($D$14:$D$23,$C$14:$C$23,B177))</x:f>
        <x:v>0</x:v>
      </x:c>
      <x:c r="D177" s="37" t="n">
        <x:f>IF(B177="","",SUMIFS($E$14:$E$23,$C$14:$C$23,B177))</x:f>
        <x:v>0</x:v>
      </x:c>
      <x:c r="E177" s="37" t="n">
        <x:f>IF(B177="","",C177-D177)</x:f>
        <x:v>0</x:v>
      </x:c>
      <x:c r="F177" s="37" t="n">
        <x:f>IF(B177="","",F176+E177)</x:f>
        <x:v>-23000</x:v>
      </x:c>
      <x:c r="G177" s="37" t="n">
        <x:f>IF(OR(B177="",$I$6&lt;&gt;"Complete"),"",SUMIFS($D$32:$D$51,$C$32:$C$51,B177,$I$32:$I$51,"Ready"))</x:f>
        <x:v>0</x:v>
      </x:c>
      <x:c r="H177" s="37" t="n">
        <x:f>IF(OR(B177="",$I$6&lt;&gt;"Complete"),"",SUMIFS($E$32:$E$51,$C$32:$C$51,B177,$I$32:$I$51,"Ready"))</x:f>
        <x:v>0</x:v>
      </x:c>
      <x:c r="I177" s="37" t="n">
        <x:f>IF(OR(B177="",$I$6&lt;&gt;"Complete"),"",I176+E177+G177-H177)</x:f>
        <x:v>57000</x:v>
      </x:c>
      <x:c r="J177" s="37" t="n">
        <x:f>IF(OR(B177="",$I$6&lt;&gt;"Complete"),"",'Inputs'!$C$49)</x:f>
        <x:v>25000</x:v>
      </x:c>
      <x:c r="K177" s="37" t="n">
        <x:f>IF(OR(B177="",$I$6&lt;&gt;"Complete"),"",I177-J177)</x:f>
        <x:v>32000</x:v>
      </x:c>
      <x:c r="L177" s="61" t="n">
        <x:f>IF(OR(B177="",$I$6&lt;&gt;"Complete"),"",IF(K177&lt;0,1,0))</x:f>
        <x:v>0</x:v>
      </x:c>
    </x:row>
    <x:row r="178" ht="23" customHeight="1">
      <x:c r="A178" s="2"/>
      <x:c r="B178" s="60" t="n">
        <x:f>IF($D$6&lt;&gt;"Complete","",IF('Inputs'!$C$47+108&lt;=$D$9,'Inputs'!$C$47+108,""))</x:f>
        <x:v>46394</x:v>
      </x:c>
      <x:c r="C178" s="37" t="n">
        <x:f>IF(B178="","",SUMIFS($D$14:$D$23,$C$14:$C$23,B178))</x:f>
        <x:v>0</x:v>
      </x:c>
      <x:c r="D178" s="37" t="n">
        <x:f>IF(B178="","",SUMIFS($E$14:$E$23,$C$14:$C$23,B178))</x:f>
        <x:v>0</x:v>
      </x:c>
      <x:c r="E178" s="37" t="n">
        <x:f>IF(B178="","",C178-D178)</x:f>
        <x:v>0</x:v>
      </x:c>
      <x:c r="F178" s="37" t="n">
        <x:f>IF(B178="","",F177+E178)</x:f>
        <x:v>-23000</x:v>
      </x:c>
      <x:c r="G178" s="37" t="n">
        <x:f>IF(OR(B178="",$I$6&lt;&gt;"Complete"),"",SUMIFS($D$32:$D$51,$C$32:$C$51,B178,$I$32:$I$51,"Ready"))</x:f>
        <x:v>0</x:v>
      </x:c>
      <x:c r="H178" s="37" t="n">
        <x:f>IF(OR(B178="",$I$6&lt;&gt;"Complete"),"",SUMIFS($E$32:$E$51,$C$32:$C$51,B178,$I$32:$I$51,"Ready"))</x:f>
        <x:v>0</x:v>
      </x:c>
      <x:c r="I178" s="37" t="n">
        <x:f>IF(OR(B178="",$I$6&lt;&gt;"Complete"),"",I177+E178+G178-H178)</x:f>
        <x:v>57000</x:v>
      </x:c>
      <x:c r="J178" s="37" t="n">
        <x:f>IF(OR(B178="",$I$6&lt;&gt;"Complete"),"",'Inputs'!$C$49)</x:f>
        <x:v>25000</x:v>
      </x:c>
      <x:c r="K178" s="37" t="n">
        <x:f>IF(OR(B178="",$I$6&lt;&gt;"Complete"),"",I178-J178)</x:f>
        <x:v>32000</x:v>
      </x:c>
      <x:c r="L178" s="61" t="n">
        <x:f>IF(OR(B178="",$I$6&lt;&gt;"Complete"),"",IF(K178&lt;0,1,0))</x:f>
        <x:v>0</x:v>
      </x:c>
    </x:row>
    <x:row r="179" ht="23" customHeight="1">
      <x:c r="A179" s="2"/>
      <x:c r="B179" s="60" t="n">
        <x:f>IF($D$6&lt;&gt;"Complete","",IF('Inputs'!$C$47+109&lt;=$D$9,'Inputs'!$C$47+109,""))</x:f>
        <x:v>46395</x:v>
      </x:c>
      <x:c r="C179" s="37" t="n">
        <x:f>IF(B179="","",SUMIFS($D$14:$D$23,$C$14:$C$23,B179))</x:f>
        <x:v>0</x:v>
      </x:c>
      <x:c r="D179" s="37" t="n">
        <x:f>IF(B179="","",SUMIFS($E$14:$E$23,$C$14:$C$23,B179))</x:f>
        <x:v>0</x:v>
      </x:c>
      <x:c r="E179" s="37" t="n">
        <x:f>IF(B179="","",C179-D179)</x:f>
        <x:v>0</x:v>
      </x:c>
      <x:c r="F179" s="37" t="n">
        <x:f>IF(B179="","",F178+E179)</x:f>
        <x:v>-23000</x:v>
      </x:c>
      <x:c r="G179" s="37" t="n">
        <x:f>IF(OR(B179="",$I$6&lt;&gt;"Complete"),"",SUMIFS($D$32:$D$51,$C$32:$C$51,B179,$I$32:$I$51,"Ready"))</x:f>
        <x:v>0</x:v>
      </x:c>
      <x:c r="H179" s="37" t="n">
        <x:f>IF(OR(B179="",$I$6&lt;&gt;"Complete"),"",SUMIFS($E$32:$E$51,$C$32:$C$51,B179,$I$32:$I$51,"Ready"))</x:f>
        <x:v>0</x:v>
      </x:c>
      <x:c r="I179" s="37" t="n">
        <x:f>IF(OR(B179="",$I$6&lt;&gt;"Complete"),"",I178+E179+G179-H179)</x:f>
        <x:v>57000</x:v>
      </x:c>
      <x:c r="J179" s="37" t="n">
        <x:f>IF(OR(B179="",$I$6&lt;&gt;"Complete"),"",'Inputs'!$C$49)</x:f>
        <x:v>25000</x:v>
      </x:c>
      <x:c r="K179" s="37" t="n">
        <x:f>IF(OR(B179="",$I$6&lt;&gt;"Complete"),"",I179-J179)</x:f>
        <x:v>32000</x:v>
      </x:c>
      <x:c r="L179" s="61" t="n">
        <x:f>IF(OR(B179="",$I$6&lt;&gt;"Complete"),"",IF(K179&lt;0,1,0))</x:f>
        <x:v>0</x:v>
      </x:c>
    </x:row>
    <x:row r="180" ht="23" customHeight="1">
      <x:c r="A180" s="2"/>
      <x:c r="B180" s="60" t="n">
        <x:f>IF($D$6&lt;&gt;"Complete","",IF('Inputs'!$C$47+110&lt;=$D$9,'Inputs'!$C$47+110,""))</x:f>
        <x:v>46396</x:v>
      </x:c>
      <x:c r="C180" s="37" t="n">
        <x:f>IF(B180="","",SUMIFS($D$14:$D$23,$C$14:$C$23,B180))</x:f>
        <x:v>0</x:v>
      </x:c>
      <x:c r="D180" s="37" t="n">
        <x:f>IF(B180="","",SUMIFS($E$14:$E$23,$C$14:$C$23,B180))</x:f>
        <x:v>0</x:v>
      </x:c>
      <x:c r="E180" s="37" t="n">
        <x:f>IF(B180="","",C180-D180)</x:f>
        <x:v>0</x:v>
      </x:c>
      <x:c r="F180" s="37" t="n">
        <x:f>IF(B180="","",F179+E180)</x:f>
        <x:v>-23000</x:v>
      </x:c>
      <x:c r="G180" s="37" t="n">
        <x:f>IF(OR(B180="",$I$6&lt;&gt;"Complete"),"",SUMIFS($D$32:$D$51,$C$32:$C$51,B180,$I$32:$I$51,"Ready"))</x:f>
        <x:v>0</x:v>
      </x:c>
      <x:c r="H180" s="37" t="n">
        <x:f>IF(OR(B180="",$I$6&lt;&gt;"Complete"),"",SUMIFS($E$32:$E$51,$C$32:$C$51,B180,$I$32:$I$51,"Ready"))</x:f>
        <x:v>0</x:v>
      </x:c>
      <x:c r="I180" s="37" t="n">
        <x:f>IF(OR(B180="",$I$6&lt;&gt;"Complete"),"",I179+E180+G180-H180)</x:f>
        <x:v>57000</x:v>
      </x:c>
      <x:c r="J180" s="37" t="n">
        <x:f>IF(OR(B180="",$I$6&lt;&gt;"Complete"),"",'Inputs'!$C$49)</x:f>
        <x:v>25000</x:v>
      </x:c>
      <x:c r="K180" s="37" t="n">
        <x:f>IF(OR(B180="",$I$6&lt;&gt;"Complete"),"",I180-J180)</x:f>
        <x:v>32000</x:v>
      </x:c>
      <x:c r="L180" s="61" t="n">
        <x:f>IF(OR(B180="",$I$6&lt;&gt;"Complete"),"",IF(K180&lt;0,1,0))</x:f>
        <x:v>0</x:v>
      </x:c>
    </x:row>
    <x:row r="181" ht="23" customHeight="1">
      <x:c r="A181" s="2"/>
      <x:c r="B181" s="60" t="n">
        <x:f>IF($D$6&lt;&gt;"Complete","",IF('Inputs'!$C$47+111&lt;=$D$9,'Inputs'!$C$47+111,""))</x:f>
        <x:v>46397</x:v>
      </x:c>
      <x:c r="C181" s="37" t="n">
        <x:f>IF(B181="","",SUMIFS($D$14:$D$23,$C$14:$C$23,B181))</x:f>
        <x:v>0</x:v>
      </x:c>
      <x:c r="D181" s="37" t="n">
        <x:f>IF(B181="","",SUMIFS($E$14:$E$23,$C$14:$C$23,B181))</x:f>
        <x:v>0</x:v>
      </x:c>
      <x:c r="E181" s="37" t="n">
        <x:f>IF(B181="","",C181-D181)</x:f>
        <x:v>0</x:v>
      </x:c>
      <x:c r="F181" s="37" t="n">
        <x:f>IF(B181="","",F180+E181)</x:f>
        <x:v>-23000</x:v>
      </x:c>
      <x:c r="G181" s="37" t="n">
        <x:f>IF(OR(B181="",$I$6&lt;&gt;"Complete"),"",SUMIFS($D$32:$D$51,$C$32:$C$51,B181,$I$32:$I$51,"Ready"))</x:f>
        <x:v>0</x:v>
      </x:c>
      <x:c r="H181" s="37" t="n">
        <x:f>IF(OR(B181="",$I$6&lt;&gt;"Complete"),"",SUMIFS($E$32:$E$51,$C$32:$C$51,B181,$I$32:$I$51,"Ready"))</x:f>
        <x:v>0</x:v>
      </x:c>
      <x:c r="I181" s="37" t="n">
        <x:f>IF(OR(B181="",$I$6&lt;&gt;"Complete"),"",I180+E181+G181-H181)</x:f>
        <x:v>57000</x:v>
      </x:c>
      <x:c r="J181" s="37" t="n">
        <x:f>IF(OR(B181="",$I$6&lt;&gt;"Complete"),"",'Inputs'!$C$49)</x:f>
        <x:v>25000</x:v>
      </x:c>
      <x:c r="K181" s="37" t="n">
        <x:f>IF(OR(B181="",$I$6&lt;&gt;"Complete"),"",I181-J181)</x:f>
        <x:v>32000</x:v>
      </x:c>
      <x:c r="L181" s="61" t="n">
        <x:f>IF(OR(B181="",$I$6&lt;&gt;"Complete"),"",IF(K181&lt;0,1,0))</x:f>
        <x:v>0</x:v>
      </x:c>
    </x:row>
    <x:row r="182" ht="23" customHeight="1">
      <x:c r="A182" s="2"/>
      <x:c r="B182" s="60" t="n">
        <x:f>IF($D$6&lt;&gt;"Complete","",IF('Inputs'!$C$47+112&lt;=$D$9,'Inputs'!$C$47+112,""))</x:f>
        <x:v>46398</x:v>
      </x:c>
      <x:c r="C182" s="37" t="n">
        <x:f>IF(B182="","",SUMIFS($D$14:$D$23,$C$14:$C$23,B182))</x:f>
        <x:v>0</x:v>
      </x:c>
      <x:c r="D182" s="37" t="n">
        <x:f>IF(B182="","",SUMIFS($E$14:$E$23,$C$14:$C$23,B182))</x:f>
        <x:v>0</x:v>
      </x:c>
      <x:c r="E182" s="37" t="n">
        <x:f>IF(B182="","",C182-D182)</x:f>
        <x:v>0</x:v>
      </x:c>
      <x:c r="F182" s="37" t="n">
        <x:f>IF(B182="","",F181+E182)</x:f>
        <x:v>-23000</x:v>
      </x:c>
      <x:c r="G182" s="37" t="n">
        <x:f>IF(OR(B182="",$I$6&lt;&gt;"Complete"),"",SUMIFS($D$32:$D$51,$C$32:$C$51,B182,$I$32:$I$51,"Ready"))</x:f>
        <x:v>0</x:v>
      </x:c>
      <x:c r="H182" s="37" t="n">
        <x:f>IF(OR(B182="",$I$6&lt;&gt;"Complete"),"",SUMIFS($E$32:$E$51,$C$32:$C$51,B182,$I$32:$I$51,"Ready"))</x:f>
        <x:v>0</x:v>
      </x:c>
      <x:c r="I182" s="37" t="n">
        <x:f>IF(OR(B182="",$I$6&lt;&gt;"Complete"),"",I181+E182+G182-H182)</x:f>
        <x:v>57000</x:v>
      </x:c>
      <x:c r="J182" s="37" t="n">
        <x:f>IF(OR(B182="",$I$6&lt;&gt;"Complete"),"",'Inputs'!$C$49)</x:f>
        <x:v>25000</x:v>
      </x:c>
      <x:c r="K182" s="37" t="n">
        <x:f>IF(OR(B182="",$I$6&lt;&gt;"Complete"),"",I182-J182)</x:f>
        <x:v>32000</x:v>
      </x:c>
      <x:c r="L182" s="61" t="n">
        <x:f>IF(OR(B182="",$I$6&lt;&gt;"Complete"),"",IF(K182&lt;0,1,0))</x:f>
        <x:v>0</x:v>
      </x:c>
    </x:row>
    <x:row r="183" ht="23" customHeight="1">
      <x:c r="A183" s="2"/>
      <x:c r="B183" s="60" t="n">
        <x:f>IF($D$6&lt;&gt;"Complete","",IF('Inputs'!$C$47+113&lt;=$D$9,'Inputs'!$C$47+113,""))</x:f>
        <x:v>46399</x:v>
      </x:c>
      <x:c r="C183" s="37" t="n">
        <x:f>IF(B183="","",SUMIFS($D$14:$D$23,$C$14:$C$23,B183))</x:f>
        <x:v>0</x:v>
      </x:c>
      <x:c r="D183" s="37" t="n">
        <x:f>IF(B183="","",SUMIFS($E$14:$E$23,$C$14:$C$23,B183))</x:f>
        <x:v>0</x:v>
      </x:c>
      <x:c r="E183" s="37" t="n">
        <x:f>IF(B183="","",C183-D183)</x:f>
        <x:v>0</x:v>
      </x:c>
      <x:c r="F183" s="37" t="n">
        <x:f>IF(B183="","",F182+E183)</x:f>
        <x:v>-23000</x:v>
      </x:c>
      <x:c r="G183" s="37" t="n">
        <x:f>IF(OR(B183="",$I$6&lt;&gt;"Complete"),"",SUMIFS($D$32:$D$51,$C$32:$C$51,B183,$I$32:$I$51,"Ready"))</x:f>
        <x:v>0</x:v>
      </x:c>
      <x:c r="H183" s="37" t="n">
        <x:f>IF(OR(B183="",$I$6&lt;&gt;"Complete"),"",SUMIFS($E$32:$E$51,$C$32:$C$51,B183,$I$32:$I$51,"Ready"))</x:f>
        <x:v>0</x:v>
      </x:c>
      <x:c r="I183" s="37" t="n">
        <x:f>IF(OR(B183="",$I$6&lt;&gt;"Complete"),"",I182+E183+G183-H183)</x:f>
        <x:v>57000</x:v>
      </x:c>
      <x:c r="J183" s="37" t="n">
        <x:f>IF(OR(B183="",$I$6&lt;&gt;"Complete"),"",'Inputs'!$C$49)</x:f>
        <x:v>25000</x:v>
      </x:c>
      <x:c r="K183" s="37" t="n">
        <x:f>IF(OR(B183="",$I$6&lt;&gt;"Complete"),"",I183-J183)</x:f>
        <x:v>32000</x:v>
      </x:c>
      <x:c r="L183" s="61" t="n">
        <x:f>IF(OR(B183="",$I$6&lt;&gt;"Complete"),"",IF(K183&lt;0,1,0))</x:f>
        <x:v>0</x:v>
      </x:c>
    </x:row>
    <x:row r="184" ht="23" customHeight="1">
      <x:c r="A184" s="2"/>
      <x:c r="B184" s="60" t="n">
        <x:f>IF($D$6&lt;&gt;"Complete","",IF('Inputs'!$C$47+114&lt;=$D$9,'Inputs'!$C$47+114,""))</x:f>
        <x:v>46400</x:v>
      </x:c>
      <x:c r="C184" s="37" t="n">
        <x:f>IF(B184="","",SUMIFS($D$14:$D$23,$C$14:$C$23,B184))</x:f>
        <x:v>0</x:v>
      </x:c>
      <x:c r="D184" s="37" t="n">
        <x:f>IF(B184="","",SUMIFS($E$14:$E$23,$C$14:$C$23,B184))</x:f>
        <x:v>0</x:v>
      </x:c>
      <x:c r="E184" s="37" t="n">
        <x:f>IF(B184="","",C184-D184)</x:f>
        <x:v>0</x:v>
      </x:c>
      <x:c r="F184" s="37" t="n">
        <x:f>IF(B184="","",F183+E184)</x:f>
        <x:v>-23000</x:v>
      </x:c>
      <x:c r="G184" s="37" t="n">
        <x:f>IF(OR(B184="",$I$6&lt;&gt;"Complete"),"",SUMIFS($D$32:$D$51,$C$32:$C$51,B184,$I$32:$I$51,"Ready"))</x:f>
        <x:v>0</x:v>
      </x:c>
      <x:c r="H184" s="37" t="n">
        <x:f>IF(OR(B184="",$I$6&lt;&gt;"Complete"),"",SUMIFS($E$32:$E$51,$C$32:$C$51,B184,$I$32:$I$51,"Ready"))</x:f>
        <x:v>0</x:v>
      </x:c>
      <x:c r="I184" s="37" t="n">
        <x:f>IF(OR(B184="",$I$6&lt;&gt;"Complete"),"",I183+E184+G184-H184)</x:f>
        <x:v>57000</x:v>
      </x:c>
      <x:c r="J184" s="37" t="n">
        <x:f>IF(OR(B184="",$I$6&lt;&gt;"Complete"),"",'Inputs'!$C$49)</x:f>
        <x:v>25000</x:v>
      </x:c>
      <x:c r="K184" s="37" t="n">
        <x:f>IF(OR(B184="",$I$6&lt;&gt;"Complete"),"",I184-J184)</x:f>
        <x:v>32000</x:v>
      </x:c>
      <x:c r="L184" s="61" t="n">
        <x:f>IF(OR(B184="",$I$6&lt;&gt;"Complete"),"",IF(K184&lt;0,1,0))</x:f>
        <x:v>0</x:v>
      </x:c>
    </x:row>
    <x:row r="185" ht="23" customHeight="1">
      <x:c r="A185" s="2"/>
      <x:c r="B185" s="60" t="n">
        <x:f>IF($D$6&lt;&gt;"Complete","",IF('Inputs'!$C$47+115&lt;=$D$9,'Inputs'!$C$47+115,""))</x:f>
        <x:v>46401</x:v>
      </x:c>
      <x:c r="C185" s="37" t="n">
        <x:f>IF(B185="","",SUMIFS($D$14:$D$23,$C$14:$C$23,B185))</x:f>
        <x:v>0</x:v>
      </x:c>
      <x:c r="D185" s="37" t="n">
        <x:f>IF(B185="","",SUMIFS($E$14:$E$23,$C$14:$C$23,B185))</x:f>
        <x:v>0</x:v>
      </x:c>
      <x:c r="E185" s="37" t="n">
        <x:f>IF(B185="","",C185-D185)</x:f>
        <x:v>0</x:v>
      </x:c>
      <x:c r="F185" s="37" t="n">
        <x:f>IF(B185="","",F184+E185)</x:f>
        <x:v>-23000</x:v>
      </x:c>
      <x:c r="G185" s="37" t="n">
        <x:f>IF(OR(B185="",$I$6&lt;&gt;"Complete"),"",SUMIFS($D$32:$D$51,$C$32:$C$51,B185,$I$32:$I$51,"Ready"))</x:f>
        <x:v>0</x:v>
      </x:c>
      <x:c r="H185" s="37" t="n">
        <x:f>IF(OR(B185="",$I$6&lt;&gt;"Complete"),"",SUMIFS($E$32:$E$51,$C$32:$C$51,B185,$I$32:$I$51,"Ready"))</x:f>
        <x:v>0</x:v>
      </x:c>
      <x:c r="I185" s="37" t="n">
        <x:f>IF(OR(B185="",$I$6&lt;&gt;"Complete"),"",I184+E185+G185-H185)</x:f>
        <x:v>57000</x:v>
      </x:c>
      <x:c r="J185" s="37" t="n">
        <x:f>IF(OR(B185="",$I$6&lt;&gt;"Complete"),"",'Inputs'!$C$49)</x:f>
        <x:v>25000</x:v>
      </x:c>
      <x:c r="K185" s="37" t="n">
        <x:f>IF(OR(B185="",$I$6&lt;&gt;"Complete"),"",I185-J185)</x:f>
        <x:v>32000</x:v>
      </x:c>
      <x:c r="L185" s="61" t="n">
        <x:f>IF(OR(B185="",$I$6&lt;&gt;"Complete"),"",IF(K185&lt;0,1,0))</x:f>
        <x:v>0</x:v>
      </x:c>
    </x:row>
    <x:row r="186" ht="23" customHeight="1">
      <x:c r="A186" s="2"/>
      <x:c r="B186" s="60" t="n">
        <x:f>IF($D$6&lt;&gt;"Complete","",IF('Inputs'!$C$47+116&lt;=$D$9,'Inputs'!$C$47+116,""))</x:f>
        <x:v>46402</x:v>
      </x:c>
      <x:c r="C186" s="37" t="n">
        <x:f>IF(B186="","",SUMIFS($D$14:$D$23,$C$14:$C$23,B186))</x:f>
        <x:v>0</x:v>
      </x:c>
      <x:c r="D186" s="37" t="n">
        <x:f>IF(B186="","",SUMIFS($E$14:$E$23,$C$14:$C$23,B186))</x:f>
        <x:v>0</x:v>
      </x:c>
      <x:c r="E186" s="37" t="n">
        <x:f>IF(B186="","",C186-D186)</x:f>
        <x:v>0</x:v>
      </x:c>
      <x:c r="F186" s="37" t="n">
        <x:f>IF(B186="","",F185+E186)</x:f>
        <x:v>-23000</x:v>
      </x:c>
      <x:c r="G186" s="37" t="n">
        <x:f>IF(OR(B186="",$I$6&lt;&gt;"Complete"),"",SUMIFS($D$32:$D$51,$C$32:$C$51,B186,$I$32:$I$51,"Ready"))</x:f>
        <x:v>0</x:v>
      </x:c>
      <x:c r="H186" s="37" t="n">
        <x:f>IF(OR(B186="",$I$6&lt;&gt;"Complete"),"",SUMIFS($E$32:$E$51,$C$32:$C$51,B186,$I$32:$I$51,"Ready"))</x:f>
        <x:v>0</x:v>
      </x:c>
      <x:c r="I186" s="37" t="n">
        <x:f>IF(OR(B186="",$I$6&lt;&gt;"Complete"),"",I185+E186+G186-H186)</x:f>
        <x:v>57000</x:v>
      </x:c>
      <x:c r="J186" s="37" t="n">
        <x:f>IF(OR(B186="",$I$6&lt;&gt;"Complete"),"",'Inputs'!$C$49)</x:f>
        <x:v>25000</x:v>
      </x:c>
      <x:c r="K186" s="37" t="n">
        <x:f>IF(OR(B186="",$I$6&lt;&gt;"Complete"),"",I186-J186)</x:f>
        <x:v>32000</x:v>
      </x:c>
      <x:c r="L186" s="61" t="n">
        <x:f>IF(OR(B186="",$I$6&lt;&gt;"Complete"),"",IF(K186&lt;0,1,0))</x:f>
        <x:v>0</x:v>
      </x:c>
    </x:row>
    <x:row r="187" ht="23" customHeight="1">
      <x:c r="A187" s="2"/>
      <x:c r="B187" s="60" t="n">
        <x:f>IF($D$6&lt;&gt;"Complete","",IF('Inputs'!$C$47+117&lt;=$D$9,'Inputs'!$C$47+117,""))</x:f>
        <x:v>46403</x:v>
      </x:c>
      <x:c r="C187" s="37" t="n">
        <x:f>IF(B187="","",SUMIFS($D$14:$D$23,$C$14:$C$23,B187))</x:f>
        <x:v>0</x:v>
      </x:c>
      <x:c r="D187" s="37" t="n">
        <x:f>IF(B187="","",SUMIFS($E$14:$E$23,$C$14:$C$23,B187))</x:f>
        <x:v>0</x:v>
      </x:c>
      <x:c r="E187" s="37" t="n">
        <x:f>IF(B187="","",C187-D187)</x:f>
        <x:v>0</x:v>
      </x:c>
      <x:c r="F187" s="37" t="n">
        <x:f>IF(B187="","",F186+E187)</x:f>
        <x:v>-23000</x:v>
      </x:c>
      <x:c r="G187" s="37" t="n">
        <x:f>IF(OR(B187="",$I$6&lt;&gt;"Complete"),"",SUMIFS($D$32:$D$51,$C$32:$C$51,B187,$I$32:$I$51,"Ready"))</x:f>
        <x:v>0</x:v>
      </x:c>
      <x:c r="H187" s="37" t="n">
        <x:f>IF(OR(B187="",$I$6&lt;&gt;"Complete"),"",SUMIFS($E$32:$E$51,$C$32:$C$51,B187,$I$32:$I$51,"Ready"))</x:f>
        <x:v>0</x:v>
      </x:c>
      <x:c r="I187" s="37" t="n">
        <x:f>IF(OR(B187="",$I$6&lt;&gt;"Complete"),"",I186+E187+G187-H187)</x:f>
        <x:v>57000</x:v>
      </x:c>
      <x:c r="J187" s="37" t="n">
        <x:f>IF(OR(B187="",$I$6&lt;&gt;"Complete"),"",'Inputs'!$C$49)</x:f>
        <x:v>25000</x:v>
      </x:c>
      <x:c r="K187" s="37" t="n">
        <x:f>IF(OR(B187="",$I$6&lt;&gt;"Complete"),"",I187-J187)</x:f>
        <x:v>32000</x:v>
      </x:c>
      <x:c r="L187" s="61" t="n">
        <x:f>IF(OR(B187="",$I$6&lt;&gt;"Complete"),"",IF(K187&lt;0,1,0))</x:f>
        <x:v>0</x:v>
      </x:c>
    </x:row>
    <x:row r="188" ht="23" customHeight="1">
      <x:c r="A188" s="2"/>
      <x:c r="B188" s="60" t="n">
        <x:f>IF($D$6&lt;&gt;"Complete","",IF('Inputs'!$C$47+118&lt;=$D$9,'Inputs'!$C$47+118,""))</x:f>
        <x:v>46404</x:v>
      </x:c>
      <x:c r="C188" s="37" t="n">
        <x:f>IF(B188="","",SUMIFS($D$14:$D$23,$C$14:$C$23,B188))</x:f>
        <x:v>0</x:v>
      </x:c>
      <x:c r="D188" s="37" t="n">
        <x:f>IF(B188="","",SUMIFS($E$14:$E$23,$C$14:$C$23,B188))</x:f>
        <x:v>0</x:v>
      </x:c>
      <x:c r="E188" s="37" t="n">
        <x:f>IF(B188="","",C188-D188)</x:f>
        <x:v>0</x:v>
      </x:c>
      <x:c r="F188" s="37" t="n">
        <x:f>IF(B188="","",F187+E188)</x:f>
        <x:v>-23000</x:v>
      </x:c>
      <x:c r="G188" s="37" t="n">
        <x:f>IF(OR(B188="",$I$6&lt;&gt;"Complete"),"",SUMIFS($D$32:$D$51,$C$32:$C$51,B188,$I$32:$I$51,"Ready"))</x:f>
        <x:v>0</x:v>
      </x:c>
      <x:c r="H188" s="37" t="n">
        <x:f>IF(OR(B188="",$I$6&lt;&gt;"Complete"),"",SUMIFS($E$32:$E$51,$C$32:$C$51,B188,$I$32:$I$51,"Ready"))</x:f>
        <x:v>0</x:v>
      </x:c>
      <x:c r="I188" s="37" t="n">
        <x:f>IF(OR(B188="",$I$6&lt;&gt;"Complete"),"",I187+E188+G188-H188)</x:f>
        <x:v>57000</x:v>
      </x:c>
      <x:c r="J188" s="37" t="n">
        <x:f>IF(OR(B188="",$I$6&lt;&gt;"Complete"),"",'Inputs'!$C$49)</x:f>
        <x:v>25000</x:v>
      </x:c>
      <x:c r="K188" s="37" t="n">
        <x:f>IF(OR(B188="",$I$6&lt;&gt;"Complete"),"",I188-J188)</x:f>
        <x:v>32000</x:v>
      </x:c>
      <x:c r="L188" s="61" t="n">
        <x:f>IF(OR(B188="",$I$6&lt;&gt;"Complete"),"",IF(K188&lt;0,1,0))</x:f>
        <x:v>0</x:v>
      </x:c>
    </x:row>
    <x:row r="189" ht="23" customHeight="1">
      <x:c r="A189" s="2"/>
      <x:c r="B189" s="60" t="n">
        <x:f>IF($D$6&lt;&gt;"Complete","",IF('Inputs'!$C$47+119&lt;=$D$9,'Inputs'!$C$47+119,""))</x:f>
        <x:v>46405</x:v>
      </x:c>
      <x:c r="C189" s="37" t="n">
        <x:f>IF(B189="","",SUMIFS($D$14:$D$23,$C$14:$C$23,B189))</x:f>
        <x:v>0</x:v>
      </x:c>
      <x:c r="D189" s="37" t="n">
        <x:f>IF(B189="","",SUMIFS($E$14:$E$23,$C$14:$C$23,B189))</x:f>
        <x:v>0</x:v>
      </x:c>
      <x:c r="E189" s="37" t="n">
        <x:f>IF(B189="","",C189-D189)</x:f>
        <x:v>0</x:v>
      </x:c>
      <x:c r="F189" s="37" t="n">
        <x:f>IF(B189="","",F188+E189)</x:f>
        <x:v>-23000</x:v>
      </x:c>
      <x:c r="G189" s="37" t="n">
        <x:f>IF(OR(B189="",$I$6&lt;&gt;"Complete"),"",SUMIFS($D$32:$D$51,$C$32:$C$51,B189,$I$32:$I$51,"Ready"))</x:f>
        <x:v>0</x:v>
      </x:c>
      <x:c r="H189" s="37" t="n">
        <x:f>IF(OR(B189="",$I$6&lt;&gt;"Complete"),"",SUMIFS($E$32:$E$51,$C$32:$C$51,B189,$I$32:$I$51,"Ready"))</x:f>
        <x:v>0</x:v>
      </x:c>
      <x:c r="I189" s="37" t="n">
        <x:f>IF(OR(B189="",$I$6&lt;&gt;"Complete"),"",I188+E189+G189-H189)</x:f>
        <x:v>57000</x:v>
      </x:c>
      <x:c r="J189" s="37" t="n">
        <x:f>IF(OR(B189="",$I$6&lt;&gt;"Complete"),"",'Inputs'!$C$49)</x:f>
        <x:v>25000</x:v>
      </x:c>
      <x:c r="K189" s="37" t="n">
        <x:f>IF(OR(B189="",$I$6&lt;&gt;"Complete"),"",I189-J189)</x:f>
        <x:v>32000</x:v>
      </x:c>
      <x:c r="L189" s="61" t="n">
        <x:f>IF(OR(B189="",$I$6&lt;&gt;"Complete"),"",IF(K189&lt;0,1,0))</x:f>
        <x:v>0</x:v>
      </x:c>
    </x:row>
    <x:row r="190" ht="23" customHeight="1">
      <x:c r="A190" s="2"/>
      <x:c r="B190" s="60" t="n">
        <x:f>IF($D$6&lt;&gt;"Complete","",IF('Inputs'!$C$47+120&lt;=$D$9,'Inputs'!$C$47+120,""))</x:f>
        <x:v>46406</x:v>
      </x:c>
      <x:c r="C190" s="37" t="n">
        <x:f>IF(B190="","",SUMIFS($D$14:$D$23,$C$14:$C$23,B190))</x:f>
        <x:v>47500</x:v>
      </x:c>
      <x:c r="D190" s="37" t="n">
        <x:f>IF(B190="","",SUMIFS($E$14:$E$23,$C$14:$C$23,B190))</x:f>
        <x:v>2375</x:v>
      </x:c>
      <x:c r="E190" s="37" t="n">
        <x:f>IF(B190="","",C190-D190)</x:f>
        <x:v>45125</x:v>
      </x:c>
      <x:c r="F190" s="37" t="n">
        <x:f>IF(B190="","",F189+E190)</x:f>
        <x:v>22125</x:v>
      </x:c>
      <x:c r="G190" s="37" t="n">
        <x:f>IF(OR(B190="",$I$6&lt;&gt;"Complete"),"",SUMIFS($D$32:$D$51,$C$32:$C$51,B190,$I$32:$I$51,"Ready"))</x:f>
        <x:v>0</x:v>
      </x:c>
      <x:c r="H190" s="37" t="n">
        <x:f>IF(OR(B190="",$I$6&lt;&gt;"Complete"),"",SUMIFS($E$32:$E$51,$C$32:$C$51,B190,$I$32:$I$51,"Ready"))</x:f>
        <x:v>0</x:v>
      </x:c>
      <x:c r="I190" s="37" t="n">
        <x:f>IF(OR(B190="",$I$6&lt;&gt;"Complete"),"",I189+E190+G190-H190)</x:f>
        <x:v>102125</x:v>
      </x:c>
      <x:c r="J190" s="37" t="n">
        <x:f>IF(OR(B190="",$I$6&lt;&gt;"Complete"),"",'Inputs'!$C$49)</x:f>
        <x:v>25000</x:v>
      </x:c>
      <x:c r="K190" s="37" t="n">
        <x:f>IF(OR(B190="",$I$6&lt;&gt;"Complete"),"",I190-J190)</x:f>
        <x:v>77125</x:v>
      </x:c>
      <x:c r="L190" s="61" t="n">
        <x:f>IF(OR(B190="",$I$6&lt;&gt;"Complete"),"",IF(K190&lt;0,1,0))</x:f>
        <x:v>0</x:v>
      </x:c>
    </x:row>
    <x:row r="191" ht="23" customHeight="1">
      <x:c r="A191" s="2"/>
      <x:c r="B191" s="60" t="n">
        <x:f>IF($D$6&lt;&gt;"Complete","",IF('Inputs'!$C$47+121&lt;=$D$9,'Inputs'!$C$47+121,""))</x:f>
        <x:v>46407</x:v>
      </x:c>
      <x:c r="C191" s="37" t="n">
        <x:f>IF(B191="","",SUMIFS($D$14:$D$23,$C$14:$C$23,B191))</x:f>
        <x:v>0</x:v>
      </x:c>
      <x:c r="D191" s="37" t="n">
        <x:f>IF(B191="","",SUMIFS($E$14:$E$23,$C$14:$C$23,B191))</x:f>
        <x:v>0</x:v>
      </x:c>
      <x:c r="E191" s="37" t="n">
        <x:f>IF(B191="","",C191-D191)</x:f>
        <x:v>0</x:v>
      </x:c>
      <x:c r="F191" s="37" t="n">
        <x:f>IF(B191="","",F190+E191)</x:f>
        <x:v>22125</x:v>
      </x:c>
      <x:c r="G191" s="37" t="n">
        <x:f>IF(OR(B191="",$I$6&lt;&gt;"Complete"),"",SUMIFS($D$32:$D$51,$C$32:$C$51,B191,$I$32:$I$51,"Ready"))</x:f>
        <x:v>0</x:v>
      </x:c>
      <x:c r="H191" s="37" t="n">
        <x:f>IF(OR(B191="",$I$6&lt;&gt;"Complete"),"",SUMIFS($E$32:$E$51,$C$32:$C$51,B191,$I$32:$I$51,"Ready"))</x:f>
        <x:v>0</x:v>
      </x:c>
      <x:c r="I191" s="37" t="n">
        <x:f>IF(OR(B191="",$I$6&lt;&gt;"Complete"),"",I190+E191+G191-H191)</x:f>
        <x:v>102125</x:v>
      </x:c>
      <x:c r="J191" s="37" t="n">
        <x:f>IF(OR(B191="",$I$6&lt;&gt;"Complete"),"",'Inputs'!$C$49)</x:f>
        <x:v>25000</x:v>
      </x:c>
      <x:c r="K191" s="37" t="n">
        <x:f>IF(OR(B191="",$I$6&lt;&gt;"Complete"),"",I191-J191)</x:f>
        <x:v>77125</x:v>
      </x:c>
      <x:c r="L191" s="61" t="n">
        <x:f>IF(OR(B191="",$I$6&lt;&gt;"Complete"),"",IF(K191&lt;0,1,0))</x:f>
        <x:v>0</x:v>
      </x:c>
    </x:row>
    <x:row r="192" ht="23" customHeight="1">
      <x:c r="A192" s="2"/>
      <x:c r="B192" s="60" t="n">
        <x:f>IF($D$6&lt;&gt;"Complete","",IF('Inputs'!$C$47+122&lt;=$D$9,'Inputs'!$C$47+122,""))</x:f>
        <x:v>46408</x:v>
      </x:c>
      <x:c r="C192" s="37" t="n">
        <x:f>IF(B192="","",SUMIFS($D$14:$D$23,$C$14:$C$23,B192))</x:f>
        <x:v>0</x:v>
      </x:c>
      <x:c r="D192" s="37" t="n">
        <x:f>IF(B192="","",SUMIFS($E$14:$E$23,$C$14:$C$23,B192))</x:f>
        <x:v>0</x:v>
      </x:c>
      <x:c r="E192" s="37" t="n">
        <x:f>IF(B192="","",C192-D192)</x:f>
        <x:v>0</x:v>
      </x:c>
      <x:c r="F192" s="37" t="n">
        <x:f>IF(B192="","",F191+E192)</x:f>
        <x:v>22125</x:v>
      </x:c>
      <x:c r="G192" s="37" t="n">
        <x:f>IF(OR(B192="",$I$6&lt;&gt;"Complete"),"",SUMIFS($D$32:$D$51,$C$32:$C$51,B192,$I$32:$I$51,"Ready"))</x:f>
        <x:v>0</x:v>
      </x:c>
      <x:c r="H192" s="37" t="n">
        <x:f>IF(OR(B192="",$I$6&lt;&gt;"Complete"),"",SUMIFS($E$32:$E$51,$C$32:$C$51,B192,$I$32:$I$51,"Ready"))</x:f>
        <x:v>0</x:v>
      </x:c>
      <x:c r="I192" s="37" t="n">
        <x:f>IF(OR(B192="",$I$6&lt;&gt;"Complete"),"",I191+E192+G192-H192)</x:f>
        <x:v>102125</x:v>
      </x:c>
      <x:c r="J192" s="37" t="n">
        <x:f>IF(OR(B192="",$I$6&lt;&gt;"Complete"),"",'Inputs'!$C$49)</x:f>
        <x:v>25000</x:v>
      </x:c>
      <x:c r="K192" s="37" t="n">
        <x:f>IF(OR(B192="",$I$6&lt;&gt;"Complete"),"",I192-J192)</x:f>
        <x:v>77125</x:v>
      </x:c>
      <x:c r="L192" s="61" t="n">
        <x:f>IF(OR(B192="",$I$6&lt;&gt;"Complete"),"",IF(K192&lt;0,1,0))</x:f>
        <x:v>0</x:v>
      </x:c>
    </x:row>
    <x:row r="193" ht="23" customHeight="1">
      <x:c r="A193" s="2"/>
      <x:c r="B193" s="60" t="n">
        <x:f>IF($D$6&lt;&gt;"Complete","",IF('Inputs'!$C$47+123&lt;=$D$9,'Inputs'!$C$47+123,""))</x:f>
        <x:v>46409</x:v>
      </x:c>
      <x:c r="C193" s="37" t="n">
        <x:f>IF(B193="","",SUMIFS($D$14:$D$23,$C$14:$C$23,B193))</x:f>
        <x:v>0</x:v>
      </x:c>
      <x:c r="D193" s="37" t="n">
        <x:f>IF(B193="","",SUMIFS($E$14:$E$23,$C$14:$C$23,B193))</x:f>
        <x:v>0</x:v>
      </x:c>
      <x:c r="E193" s="37" t="n">
        <x:f>IF(B193="","",C193-D193)</x:f>
        <x:v>0</x:v>
      </x:c>
      <x:c r="F193" s="37" t="n">
        <x:f>IF(B193="","",F192+E193)</x:f>
        <x:v>22125</x:v>
      </x:c>
      <x:c r="G193" s="37" t="n">
        <x:f>IF(OR(B193="",$I$6&lt;&gt;"Complete"),"",SUMIFS($D$32:$D$51,$C$32:$C$51,B193,$I$32:$I$51,"Ready"))</x:f>
        <x:v>0</x:v>
      </x:c>
      <x:c r="H193" s="37" t="n">
        <x:f>IF(OR(B193="",$I$6&lt;&gt;"Complete"),"",SUMIFS($E$32:$E$51,$C$32:$C$51,B193,$I$32:$I$51,"Ready"))</x:f>
        <x:v>0</x:v>
      </x:c>
      <x:c r="I193" s="37" t="n">
        <x:f>IF(OR(B193="",$I$6&lt;&gt;"Complete"),"",I192+E193+G193-H193)</x:f>
        <x:v>102125</x:v>
      </x:c>
      <x:c r="J193" s="37" t="n">
        <x:f>IF(OR(B193="",$I$6&lt;&gt;"Complete"),"",'Inputs'!$C$49)</x:f>
        <x:v>25000</x:v>
      </x:c>
      <x:c r="K193" s="37" t="n">
        <x:f>IF(OR(B193="",$I$6&lt;&gt;"Complete"),"",I193-J193)</x:f>
        <x:v>77125</x:v>
      </x:c>
      <x:c r="L193" s="61" t="n">
        <x:f>IF(OR(B193="",$I$6&lt;&gt;"Complete"),"",IF(K193&lt;0,1,0))</x:f>
        <x:v>0</x:v>
      </x:c>
    </x:row>
    <x:row r="194" ht="23" customHeight="1">
      <x:c r="A194" s="2"/>
      <x:c r="B194" s="60" t="n">
        <x:f>IF($D$6&lt;&gt;"Complete","",IF('Inputs'!$C$47+124&lt;=$D$9,'Inputs'!$C$47+124,""))</x:f>
        <x:v>46410</x:v>
      </x:c>
      <x:c r="C194" s="37" t="n">
        <x:f>IF(B194="","",SUMIFS($D$14:$D$23,$C$14:$C$23,B194))</x:f>
        <x:v>0</x:v>
      </x:c>
      <x:c r="D194" s="37" t="n">
        <x:f>IF(B194="","",SUMIFS($E$14:$E$23,$C$14:$C$23,B194))</x:f>
        <x:v>0</x:v>
      </x:c>
      <x:c r="E194" s="37" t="n">
        <x:f>IF(B194="","",C194-D194)</x:f>
        <x:v>0</x:v>
      </x:c>
      <x:c r="F194" s="37" t="n">
        <x:f>IF(B194="","",F193+E194)</x:f>
        <x:v>22125</x:v>
      </x:c>
      <x:c r="G194" s="37" t="n">
        <x:f>IF(OR(B194="",$I$6&lt;&gt;"Complete"),"",SUMIFS($D$32:$D$51,$C$32:$C$51,B194,$I$32:$I$51,"Ready"))</x:f>
        <x:v>0</x:v>
      </x:c>
      <x:c r="H194" s="37" t="n">
        <x:f>IF(OR(B194="",$I$6&lt;&gt;"Complete"),"",SUMIFS($E$32:$E$51,$C$32:$C$51,B194,$I$32:$I$51,"Ready"))</x:f>
        <x:v>0</x:v>
      </x:c>
      <x:c r="I194" s="37" t="n">
        <x:f>IF(OR(B194="",$I$6&lt;&gt;"Complete"),"",I193+E194+G194-H194)</x:f>
        <x:v>102125</x:v>
      </x:c>
      <x:c r="J194" s="37" t="n">
        <x:f>IF(OR(B194="",$I$6&lt;&gt;"Complete"),"",'Inputs'!$C$49)</x:f>
        <x:v>25000</x:v>
      </x:c>
      <x:c r="K194" s="37" t="n">
        <x:f>IF(OR(B194="",$I$6&lt;&gt;"Complete"),"",I194-J194)</x:f>
        <x:v>77125</x:v>
      </x:c>
      <x:c r="L194" s="61" t="n">
        <x:f>IF(OR(B194="",$I$6&lt;&gt;"Complete"),"",IF(K194&lt;0,1,0))</x:f>
        <x:v>0</x:v>
      </x:c>
    </x:row>
    <x:row r="195" ht="23" customHeight="1">
      <x:c r="A195" s="2"/>
      <x:c r="B195" s="60" t="n">
        <x:f>IF($D$6&lt;&gt;"Complete","",IF('Inputs'!$C$47+125&lt;=$D$9,'Inputs'!$C$47+125,""))</x:f>
        <x:v>46411</x:v>
      </x:c>
      <x:c r="C195" s="37" t="n">
        <x:f>IF(B195="","",SUMIFS($D$14:$D$23,$C$14:$C$23,B195))</x:f>
        <x:v>0</x:v>
      </x:c>
      <x:c r="D195" s="37" t="n">
        <x:f>IF(B195="","",SUMIFS($E$14:$E$23,$C$14:$C$23,B195))</x:f>
        <x:v>0</x:v>
      </x:c>
      <x:c r="E195" s="37" t="n">
        <x:f>IF(B195="","",C195-D195)</x:f>
        <x:v>0</x:v>
      </x:c>
      <x:c r="F195" s="37" t="n">
        <x:f>IF(B195="","",F194+E195)</x:f>
        <x:v>22125</x:v>
      </x:c>
      <x:c r="G195" s="37" t="n">
        <x:f>IF(OR(B195="",$I$6&lt;&gt;"Complete"),"",SUMIFS($D$32:$D$51,$C$32:$C$51,B195,$I$32:$I$51,"Ready"))</x:f>
        <x:v>0</x:v>
      </x:c>
      <x:c r="H195" s="37" t="n">
        <x:f>IF(OR(B195="",$I$6&lt;&gt;"Complete"),"",SUMIFS($E$32:$E$51,$C$32:$C$51,B195,$I$32:$I$51,"Ready"))</x:f>
        <x:v>0</x:v>
      </x:c>
      <x:c r="I195" s="37" t="n">
        <x:f>IF(OR(B195="",$I$6&lt;&gt;"Complete"),"",I194+E195+G195-H195)</x:f>
        <x:v>102125</x:v>
      </x:c>
      <x:c r="J195" s="37" t="n">
        <x:f>IF(OR(B195="",$I$6&lt;&gt;"Complete"),"",'Inputs'!$C$49)</x:f>
        <x:v>25000</x:v>
      </x:c>
      <x:c r="K195" s="37" t="n">
        <x:f>IF(OR(B195="",$I$6&lt;&gt;"Complete"),"",I195-J195)</x:f>
        <x:v>77125</x:v>
      </x:c>
      <x:c r="L195" s="61" t="n">
        <x:f>IF(OR(B195="",$I$6&lt;&gt;"Complete"),"",IF(K195&lt;0,1,0))</x:f>
        <x:v>0</x:v>
      </x:c>
    </x:row>
    <x:row r="196" ht="23" customHeight="1">
      <x:c r="A196" s="2"/>
      <x:c r="B196" s="60" t="n">
        <x:f>IF($D$6&lt;&gt;"Complete","",IF('Inputs'!$C$47+126&lt;=$D$9,'Inputs'!$C$47+126,""))</x:f>
        <x:v>46412</x:v>
      </x:c>
      <x:c r="C196" s="37" t="n">
        <x:f>IF(B196="","",SUMIFS($D$14:$D$23,$C$14:$C$23,B196))</x:f>
        <x:v>0</x:v>
      </x:c>
      <x:c r="D196" s="37" t="n">
        <x:f>IF(B196="","",SUMIFS($E$14:$E$23,$C$14:$C$23,B196))</x:f>
        <x:v>0</x:v>
      </x:c>
      <x:c r="E196" s="37" t="n">
        <x:f>IF(B196="","",C196-D196)</x:f>
        <x:v>0</x:v>
      </x:c>
      <x:c r="F196" s="37" t="n">
        <x:f>IF(B196="","",F195+E196)</x:f>
        <x:v>22125</x:v>
      </x:c>
      <x:c r="G196" s="37" t="n">
        <x:f>IF(OR(B196="",$I$6&lt;&gt;"Complete"),"",SUMIFS($D$32:$D$51,$C$32:$C$51,B196,$I$32:$I$51,"Ready"))</x:f>
        <x:v>0</x:v>
      </x:c>
      <x:c r="H196" s="37" t="n">
        <x:f>IF(OR(B196="",$I$6&lt;&gt;"Complete"),"",SUMIFS($E$32:$E$51,$C$32:$C$51,B196,$I$32:$I$51,"Ready"))</x:f>
        <x:v>0</x:v>
      </x:c>
      <x:c r="I196" s="37" t="n">
        <x:f>IF(OR(B196="",$I$6&lt;&gt;"Complete"),"",I195+E196+G196-H196)</x:f>
        <x:v>102125</x:v>
      </x:c>
      <x:c r="J196" s="37" t="n">
        <x:f>IF(OR(B196="",$I$6&lt;&gt;"Complete"),"",'Inputs'!$C$49)</x:f>
        <x:v>25000</x:v>
      </x:c>
      <x:c r="K196" s="37" t="n">
        <x:f>IF(OR(B196="",$I$6&lt;&gt;"Complete"),"",I196-J196)</x:f>
        <x:v>77125</x:v>
      </x:c>
      <x:c r="L196" s="61" t="n">
        <x:f>IF(OR(B196="",$I$6&lt;&gt;"Complete"),"",IF(K196&lt;0,1,0))</x:f>
        <x:v>0</x:v>
      </x:c>
    </x:row>
    <x:row r="197" ht="23" customHeight="1">
      <x:c r="A197" s="2"/>
      <x:c r="B197" s="60" t="n">
        <x:f>IF($D$6&lt;&gt;"Complete","",IF('Inputs'!$C$47+127&lt;=$D$9,'Inputs'!$C$47+127,""))</x:f>
        <x:v>46413</x:v>
      </x:c>
      <x:c r="C197" s="37" t="n">
        <x:f>IF(B197="","",SUMIFS($D$14:$D$23,$C$14:$C$23,B197))</x:f>
        <x:v>0</x:v>
      </x:c>
      <x:c r="D197" s="37" t="n">
        <x:f>IF(B197="","",SUMIFS($E$14:$E$23,$C$14:$C$23,B197))</x:f>
        <x:v>0</x:v>
      </x:c>
      <x:c r="E197" s="37" t="n">
        <x:f>IF(B197="","",C197-D197)</x:f>
        <x:v>0</x:v>
      </x:c>
      <x:c r="F197" s="37" t="n">
        <x:f>IF(B197="","",F196+E197)</x:f>
        <x:v>22125</x:v>
      </x:c>
      <x:c r="G197" s="37" t="n">
        <x:f>IF(OR(B197="",$I$6&lt;&gt;"Complete"),"",SUMIFS($D$32:$D$51,$C$32:$C$51,B197,$I$32:$I$51,"Ready"))</x:f>
        <x:v>0</x:v>
      </x:c>
      <x:c r="H197" s="37" t="n">
        <x:f>IF(OR(B197="",$I$6&lt;&gt;"Complete"),"",SUMIFS($E$32:$E$51,$C$32:$C$51,B197,$I$32:$I$51,"Ready"))</x:f>
        <x:v>0</x:v>
      </x:c>
      <x:c r="I197" s="37" t="n">
        <x:f>IF(OR(B197="",$I$6&lt;&gt;"Complete"),"",I196+E197+G197-H197)</x:f>
        <x:v>102125</x:v>
      </x:c>
      <x:c r="J197" s="37" t="n">
        <x:f>IF(OR(B197="",$I$6&lt;&gt;"Complete"),"",'Inputs'!$C$49)</x:f>
        <x:v>25000</x:v>
      </x:c>
      <x:c r="K197" s="37" t="n">
        <x:f>IF(OR(B197="",$I$6&lt;&gt;"Complete"),"",I197-J197)</x:f>
        <x:v>77125</x:v>
      </x:c>
      <x:c r="L197" s="61" t="n">
        <x:f>IF(OR(B197="",$I$6&lt;&gt;"Complete"),"",IF(K197&lt;0,1,0))</x:f>
        <x:v>0</x:v>
      </x:c>
    </x:row>
    <x:row r="198" ht="23" customHeight="1">
      <x:c r="A198" s="2"/>
      <x:c r="B198" s="60" t="n">
        <x:f>IF($D$6&lt;&gt;"Complete","",IF('Inputs'!$C$47+128&lt;=$D$9,'Inputs'!$C$47+128,""))</x:f>
        <x:v>46414</x:v>
      </x:c>
      <x:c r="C198" s="37" t="n">
        <x:f>IF(B198="","",SUMIFS($D$14:$D$23,$C$14:$C$23,B198))</x:f>
        <x:v>0</x:v>
      </x:c>
      <x:c r="D198" s="37" t="n">
        <x:f>IF(B198="","",SUMIFS($E$14:$E$23,$C$14:$C$23,B198))</x:f>
        <x:v>0</x:v>
      </x:c>
      <x:c r="E198" s="37" t="n">
        <x:f>IF(B198="","",C198-D198)</x:f>
        <x:v>0</x:v>
      </x:c>
      <x:c r="F198" s="37" t="n">
        <x:f>IF(B198="","",F197+E198)</x:f>
        <x:v>22125</x:v>
      </x:c>
      <x:c r="G198" s="37" t="n">
        <x:f>IF(OR(B198="",$I$6&lt;&gt;"Complete"),"",SUMIFS($D$32:$D$51,$C$32:$C$51,B198,$I$32:$I$51,"Ready"))</x:f>
        <x:v>0</x:v>
      </x:c>
      <x:c r="H198" s="37" t="n">
        <x:f>IF(OR(B198="",$I$6&lt;&gt;"Complete"),"",SUMIFS($E$32:$E$51,$C$32:$C$51,B198,$I$32:$I$51,"Ready"))</x:f>
        <x:v>0</x:v>
      </x:c>
      <x:c r="I198" s="37" t="n">
        <x:f>IF(OR(B198="",$I$6&lt;&gt;"Complete"),"",I197+E198+G198-H198)</x:f>
        <x:v>102125</x:v>
      </x:c>
      <x:c r="J198" s="37" t="n">
        <x:f>IF(OR(B198="",$I$6&lt;&gt;"Complete"),"",'Inputs'!$C$49)</x:f>
        <x:v>25000</x:v>
      </x:c>
      <x:c r="K198" s="37" t="n">
        <x:f>IF(OR(B198="",$I$6&lt;&gt;"Complete"),"",I198-J198)</x:f>
        <x:v>77125</x:v>
      </x:c>
      <x:c r="L198" s="61" t="n">
        <x:f>IF(OR(B198="",$I$6&lt;&gt;"Complete"),"",IF(K198&lt;0,1,0))</x:f>
        <x:v>0</x:v>
      </x:c>
    </x:row>
    <x:row r="199" ht="23" customHeight="1">
      <x:c r="A199" s="2"/>
      <x:c r="B199" s="60" t="n">
        <x:f>IF($D$6&lt;&gt;"Complete","",IF('Inputs'!$C$47+129&lt;=$D$9,'Inputs'!$C$47+129,""))</x:f>
        <x:v>46415</x:v>
      </x:c>
      <x:c r="C199" s="37" t="n">
        <x:f>IF(B199="","",SUMIFS($D$14:$D$23,$C$14:$C$23,B199))</x:f>
        <x:v>0</x:v>
      </x:c>
      <x:c r="D199" s="37" t="n">
        <x:f>IF(B199="","",SUMIFS($E$14:$E$23,$C$14:$C$23,B199))</x:f>
        <x:v>0</x:v>
      </x:c>
      <x:c r="E199" s="37" t="n">
        <x:f>IF(B199="","",C199-D199)</x:f>
        <x:v>0</x:v>
      </x:c>
      <x:c r="F199" s="37" t="n">
        <x:f>IF(B199="","",F198+E199)</x:f>
        <x:v>22125</x:v>
      </x:c>
      <x:c r="G199" s="37" t="n">
        <x:f>IF(OR(B199="",$I$6&lt;&gt;"Complete"),"",SUMIFS($D$32:$D$51,$C$32:$C$51,B199,$I$32:$I$51,"Ready"))</x:f>
        <x:v>0</x:v>
      </x:c>
      <x:c r="H199" s="37" t="n">
        <x:f>IF(OR(B199="",$I$6&lt;&gt;"Complete"),"",SUMIFS($E$32:$E$51,$C$32:$C$51,B199,$I$32:$I$51,"Ready"))</x:f>
        <x:v>0</x:v>
      </x:c>
      <x:c r="I199" s="37" t="n">
        <x:f>IF(OR(B199="",$I$6&lt;&gt;"Complete"),"",I198+E199+G199-H199)</x:f>
        <x:v>102125</x:v>
      </x:c>
      <x:c r="J199" s="37" t="n">
        <x:f>IF(OR(B199="",$I$6&lt;&gt;"Complete"),"",'Inputs'!$C$49)</x:f>
        <x:v>25000</x:v>
      </x:c>
      <x:c r="K199" s="37" t="n">
        <x:f>IF(OR(B199="",$I$6&lt;&gt;"Complete"),"",I199-J199)</x:f>
        <x:v>77125</x:v>
      </x:c>
      <x:c r="L199" s="61" t="n">
        <x:f>IF(OR(B199="",$I$6&lt;&gt;"Complete"),"",IF(K199&lt;0,1,0))</x:f>
        <x:v>0</x:v>
      </x:c>
    </x:row>
    <x:row r="200" ht="23" customHeight="1">
      <x:c r="A200" s="2"/>
      <x:c r="B200" s="60" t="n">
        <x:f>IF($D$6&lt;&gt;"Complete","",IF('Inputs'!$C$47+130&lt;=$D$9,'Inputs'!$C$47+130,""))</x:f>
        <x:v>46416</x:v>
      </x:c>
      <x:c r="C200" s="37" t="n">
        <x:f>IF(B200="","",SUMIFS($D$14:$D$23,$C$14:$C$23,B200))</x:f>
        <x:v>0</x:v>
      </x:c>
      <x:c r="D200" s="37" t="n">
        <x:f>IF(B200="","",SUMIFS($E$14:$E$23,$C$14:$C$23,B200))</x:f>
        <x:v>0</x:v>
      </x:c>
      <x:c r="E200" s="37" t="n">
        <x:f>IF(B200="","",C200-D200)</x:f>
        <x:v>0</x:v>
      </x:c>
      <x:c r="F200" s="37" t="n">
        <x:f>IF(B200="","",F199+E200)</x:f>
        <x:v>22125</x:v>
      </x:c>
      <x:c r="G200" s="37" t="n">
        <x:f>IF(OR(B200="",$I$6&lt;&gt;"Complete"),"",SUMIFS($D$32:$D$51,$C$32:$C$51,B200,$I$32:$I$51,"Ready"))</x:f>
        <x:v>0</x:v>
      </x:c>
      <x:c r="H200" s="37" t="n">
        <x:f>IF(OR(B200="",$I$6&lt;&gt;"Complete"),"",SUMIFS($E$32:$E$51,$C$32:$C$51,B200,$I$32:$I$51,"Ready"))</x:f>
        <x:v>0</x:v>
      </x:c>
      <x:c r="I200" s="37" t="n">
        <x:f>IF(OR(B200="",$I$6&lt;&gt;"Complete"),"",I199+E200+G200-H200)</x:f>
        <x:v>102125</x:v>
      </x:c>
      <x:c r="J200" s="37" t="n">
        <x:f>IF(OR(B200="",$I$6&lt;&gt;"Complete"),"",'Inputs'!$C$49)</x:f>
        <x:v>25000</x:v>
      </x:c>
      <x:c r="K200" s="37" t="n">
        <x:f>IF(OR(B200="",$I$6&lt;&gt;"Complete"),"",I200-J200)</x:f>
        <x:v>77125</x:v>
      </x:c>
      <x:c r="L200" s="61" t="n">
        <x:f>IF(OR(B200="",$I$6&lt;&gt;"Complete"),"",IF(K200&lt;0,1,0))</x:f>
        <x:v>0</x:v>
      </x:c>
    </x:row>
    <x:row r="201" ht="23" customHeight="1">
      <x:c r="A201" s="2"/>
      <x:c r="B201" s="60" t="n">
        <x:f>IF($D$6&lt;&gt;"Complete","",IF('Inputs'!$C$47+131&lt;=$D$9,'Inputs'!$C$47+131,""))</x:f>
        <x:v>46417</x:v>
      </x:c>
      <x:c r="C201" s="37" t="n">
        <x:f>IF(B201="","",SUMIFS($D$14:$D$23,$C$14:$C$23,B201))</x:f>
        <x:v>0</x:v>
      </x:c>
      <x:c r="D201" s="37" t="n">
        <x:f>IF(B201="","",SUMIFS($E$14:$E$23,$C$14:$C$23,B201))</x:f>
        <x:v>0</x:v>
      </x:c>
      <x:c r="E201" s="37" t="n">
        <x:f>IF(B201="","",C201-D201)</x:f>
        <x:v>0</x:v>
      </x:c>
      <x:c r="F201" s="37" t="n">
        <x:f>IF(B201="","",F200+E201)</x:f>
        <x:v>22125</x:v>
      </x:c>
      <x:c r="G201" s="37" t="n">
        <x:f>IF(OR(B201="",$I$6&lt;&gt;"Complete"),"",SUMIFS($D$32:$D$51,$C$32:$C$51,B201,$I$32:$I$51,"Ready"))</x:f>
        <x:v>0</x:v>
      </x:c>
      <x:c r="H201" s="37" t="n">
        <x:f>IF(OR(B201="",$I$6&lt;&gt;"Complete"),"",SUMIFS($E$32:$E$51,$C$32:$C$51,B201,$I$32:$I$51,"Ready"))</x:f>
        <x:v>0</x:v>
      </x:c>
      <x:c r="I201" s="37" t="n">
        <x:f>IF(OR(B201="",$I$6&lt;&gt;"Complete"),"",I200+E201+G201-H201)</x:f>
        <x:v>102125</x:v>
      </x:c>
      <x:c r="J201" s="37" t="n">
        <x:f>IF(OR(B201="",$I$6&lt;&gt;"Complete"),"",'Inputs'!$C$49)</x:f>
        <x:v>25000</x:v>
      </x:c>
      <x:c r="K201" s="37" t="n">
        <x:f>IF(OR(B201="",$I$6&lt;&gt;"Complete"),"",I201-J201)</x:f>
        <x:v>77125</x:v>
      </x:c>
      <x:c r="L201" s="61" t="n">
        <x:f>IF(OR(B201="",$I$6&lt;&gt;"Complete"),"",IF(K201&lt;0,1,0))</x:f>
        <x:v>0</x:v>
      </x:c>
    </x:row>
    <x:row r="202" ht="23" customHeight="1">
      <x:c r="A202" s="2"/>
      <x:c r="B202" s="60" t="n">
        <x:f>IF($D$6&lt;&gt;"Complete","",IF('Inputs'!$C$47+132&lt;=$D$9,'Inputs'!$C$47+132,""))</x:f>
        <x:v>46418</x:v>
      </x:c>
      <x:c r="C202" s="37" t="n">
        <x:f>IF(B202="","",SUMIFS($D$14:$D$23,$C$14:$C$23,B202))</x:f>
        <x:v>0</x:v>
      </x:c>
      <x:c r="D202" s="37" t="n">
        <x:f>IF(B202="","",SUMIFS($E$14:$E$23,$C$14:$C$23,B202))</x:f>
        <x:v>0</x:v>
      </x:c>
      <x:c r="E202" s="37" t="n">
        <x:f>IF(B202="","",C202-D202)</x:f>
        <x:v>0</x:v>
      </x:c>
      <x:c r="F202" s="37" t="n">
        <x:f>IF(B202="","",F201+E202)</x:f>
        <x:v>22125</x:v>
      </x:c>
      <x:c r="G202" s="37" t="n">
        <x:f>IF(OR(B202="",$I$6&lt;&gt;"Complete"),"",SUMIFS($D$32:$D$51,$C$32:$C$51,B202,$I$32:$I$51,"Ready"))</x:f>
        <x:v>0</x:v>
      </x:c>
      <x:c r="H202" s="37" t="n">
        <x:f>IF(OR(B202="",$I$6&lt;&gt;"Complete"),"",SUMIFS($E$32:$E$51,$C$32:$C$51,B202,$I$32:$I$51,"Ready"))</x:f>
        <x:v>0</x:v>
      </x:c>
      <x:c r="I202" s="37" t="n">
        <x:f>IF(OR(B202="",$I$6&lt;&gt;"Complete"),"",I201+E202+G202-H202)</x:f>
        <x:v>102125</x:v>
      </x:c>
      <x:c r="J202" s="37" t="n">
        <x:f>IF(OR(B202="",$I$6&lt;&gt;"Complete"),"",'Inputs'!$C$49)</x:f>
        <x:v>25000</x:v>
      </x:c>
      <x:c r="K202" s="37" t="n">
        <x:f>IF(OR(B202="",$I$6&lt;&gt;"Complete"),"",I202-J202)</x:f>
        <x:v>77125</x:v>
      </x:c>
      <x:c r="L202" s="61" t="n">
        <x:f>IF(OR(B202="",$I$6&lt;&gt;"Complete"),"",IF(K202&lt;0,1,0))</x:f>
        <x:v>0</x:v>
      </x:c>
    </x:row>
    <x:row r="203" ht="23" customHeight="1">
      <x:c r="A203" s="2"/>
      <x:c r="B203" s="60" t="n">
        <x:f>IF($D$6&lt;&gt;"Complete","",IF('Inputs'!$C$47+133&lt;=$D$9,'Inputs'!$C$47+133,""))</x:f>
        <x:v>46419</x:v>
      </x:c>
      <x:c r="C203" s="37" t="n">
        <x:f>IF(B203="","",SUMIFS($D$14:$D$23,$C$14:$C$23,B203))</x:f>
        <x:v>0</x:v>
      </x:c>
      <x:c r="D203" s="37" t="n">
        <x:f>IF(B203="","",SUMIFS($E$14:$E$23,$C$14:$C$23,B203))</x:f>
        <x:v>0</x:v>
      </x:c>
      <x:c r="E203" s="37" t="n">
        <x:f>IF(B203="","",C203-D203)</x:f>
        <x:v>0</x:v>
      </x:c>
      <x:c r="F203" s="37" t="n">
        <x:f>IF(B203="","",F202+E203)</x:f>
        <x:v>22125</x:v>
      </x:c>
      <x:c r="G203" s="37" t="n">
        <x:f>IF(OR(B203="",$I$6&lt;&gt;"Complete"),"",SUMIFS($D$32:$D$51,$C$32:$C$51,B203,$I$32:$I$51,"Ready"))</x:f>
        <x:v>0</x:v>
      </x:c>
      <x:c r="H203" s="37" t="n">
        <x:f>IF(OR(B203="",$I$6&lt;&gt;"Complete"),"",SUMIFS($E$32:$E$51,$C$32:$C$51,B203,$I$32:$I$51,"Ready"))</x:f>
        <x:v>0</x:v>
      </x:c>
      <x:c r="I203" s="37" t="n">
        <x:f>IF(OR(B203="",$I$6&lt;&gt;"Complete"),"",I202+E203+G203-H203)</x:f>
        <x:v>102125</x:v>
      </x:c>
      <x:c r="J203" s="37" t="n">
        <x:f>IF(OR(B203="",$I$6&lt;&gt;"Complete"),"",'Inputs'!$C$49)</x:f>
        <x:v>25000</x:v>
      </x:c>
      <x:c r="K203" s="37" t="n">
        <x:f>IF(OR(B203="",$I$6&lt;&gt;"Complete"),"",I203-J203)</x:f>
        <x:v>77125</x:v>
      </x:c>
      <x:c r="L203" s="61" t="n">
        <x:f>IF(OR(B203="",$I$6&lt;&gt;"Complete"),"",IF(K203&lt;0,1,0))</x:f>
        <x:v>0</x:v>
      </x:c>
    </x:row>
    <x:row r="204" ht="23" customHeight="1">
      <x:c r="A204" s="2"/>
      <x:c r="B204" s="60" t="n">
        <x:f>IF($D$6&lt;&gt;"Complete","",IF('Inputs'!$C$47+134&lt;=$D$9,'Inputs'!$C$47+134,""))</x:f>
        <x:v>46420</x:v>
      </x:c>
      <x:c r="C204" s="37" t="n">
        <x:f>IF(B204="","",SUMIFS($D$14:$D$23,$C$14:$C$23,B204))</x:f>
        <x:v>0</x:v>
      </x:c>
      <x:c r="D204" s="37" t="n">
        <x:f>IF(B204="","",SUMIFS($E$14:$E$23,$C$14:$C$23,B204))</x:f>
        <x:v>0</x:v>
      </x:c>
      <x:c r="E204" s="37" t="n">
        <x:f>IF(B204="","",C204-D204)</x:f>
        <x:v>0</x:v>
      </x:c>
      <x:c r="F204" s="37" t="n">
        <x:f>IF(B204="","",F203+E204)</x:f>
        <x:v>22125</x:v>
      </x:c>
      <x:c r="G204" s="37" t="n">
        <x:f>IF(OR(B204="",$I$6&lt;&gt;"Complete"),"",SUMIFS($D$32:$D$51,$C$32:$C$51,B204,$I$32:$I$51,"Ready"))</x:f>
        <x:v>0</x:v>
      </x:c>
      <x:c r="H204" s="37" t="n">
        <x:f>IF(OR(B204="",$I$6&lt;&gt;"Complete"),"",SUMIFS($E$32:$E$51,$C$32:$C$51,B204,$I$32:$I$51,"Ready"))</x:f>
        <x:v>0</x:v>
      </x:c>
      <x:c r="I204" s="37" t="n">
        <x:f>IF(OR(B204="",$I$6&lt;&gt;"Complete"),"",I203+E204+G204-H204)</x:f>
        <x:v>102125</x:v>
      </x:c>
      <x:c r="J204" s="37" t="n">
        <x:f>IF(OR(B204="",$I$6&lt;&gt;"Complete"),"",'Inputs'!$C$49)</x:f>
        <x:v>25000</x:v>
      </x:c>
      <x:c r="K204" s="37" t="n">
        <x:f>IF(OR(B204="",$I$6&lt;&gt;"Complete"),"",I204-J204)</x:f>
        <x:v>77125</x:v>
      </x:c>
      <x:c r="L204" s="61" t="n">
        <x:f>IF(OR(B204="",$I$6&lt;&gt;"Complete"),"",IF(K204&lt;0,1,0))</x:f>
        <x:v>0</x:v>
      </x:c>
    </x:row>
    <x:row r="205" ht="23" customHeight="1">
      <x:c r="A205" s="2"/>
      <x:c r="B205" s="60" t="n">
        <x:f>IF($D$6&lt;&gt;"Complete","",IF('Inputs'!$C$47+135&lt;=$D$9,'Inputs'!$C$47+135,""))</x:f>
        <x:v>46421</x:v>
      </x:c>
      <x:c r="C205" s="37" t="n">
        <x:f>IF(B205="","",SUMIFS($D$14:$D$23,$C$14:$C$23,B205))</x:f>
        <x:v>0</x:v>
      </x:c>
      <x:c r="D205" s="37" t="n">
        <x:f>IF(B205="","",SUMIFS($E$14:$E$23,$C$14:$C$23,B205))</x:f>
        <x:v>0</x:v>
      </x:c>
      <x:c r="E205" s="37" t="n">
        <x:f>IF(B205="","",C205-D205)</x:f>
        <x:v>0</x:v>
      </x:c>
      <x:c r="F205" s="37" t="n">
        <x:f>IF(B205="","",F204+E205)</x:f>
        <x:v>22125</x:v>
      </x:c>
      <x:c r="G205" s="37" t="n">
        <x:f>IF(OR(B205="",$I$6&lt;&gt;"Complete"),"",SUMIFS($D$32:$D$51,$C$32:$C$51,B205,$I$32:$I$51,"Ready"))</x:f>
        <x:v>0</x:v>
      </x:c>
      <x:c r="H205" s="37" t="n">
        <x:f>IF(OR(B205="",$I$6&lt;&gt;"Complete"),"",SUMIFS($E$32:$E$51,$C$32:$C$51,B205,$I$32:$I$51,"Ready"))</x:f>
        <x:v>0</x:v>
      </x:c>
      <x:c r="I205" s="37" t="n">
        <x:f>IF(OR(B205="",$I$6&lt;&gt;"Complete"),"",I204+E205+G205-H205)</x:f>
        <x:v>102125</x:v>
      </x:c>
      <x:c r="J205" s="37" t="n">
        <x:f>IF(OR(B205="",$I$6&lt;&gt;"Complete"),"",'Inputs'!$C$49)</x:f>
        <x:v>25000</x:v>
      </x:c>
      <x:c r="K205" s="37" t="n">
        <x:f>IF(OR(B205="",$I$6&lt;&gt;"Complete"),"",I205-J205)</x:f>
        <x:v>77125</x:v>
      </x:c>
      <x:c r="L205" s="61" t="n">
        <x:f>IF(OR(B205="",$I$6&lt;&gt;"Complete"),"",IF(K205&lt;0,1,0))</x:f>
        <x:v>0</x:v>
      </x:c>
    </x:row>
    <x:row r="206" ht="23" customHeight="1">
      <x:c r="A206" s="2"/>
      <x:c r="B206" s="60" t="n">
        <x:f>IF($D$6&lt;&gt;"Complete","",IF('Inputs'!$C$47+136&lt;=$D$9,'Inputs'!$C$47+136,""))</x:f>
        <x:v>46422</x:v>
      </x:c>
      <x:c r="C206" s="37" t="n">
        <x:f>IF(B206="","",SUMIFS($D$14:$D$23,$C$14:$C$23,B206))</x:f>
        <x:v>0</x:v>
      </x:c>
      <x:c r="D206" s="37" t="n">
        <x:f>IF(B206="","",SUMIFS($E$14:$E$23,$C$14:$C$23,B206))</x:f>
        <x:v>0</x:v>
      </x:c>
      <x:c r="E206" s="37" t="n">
        <x:f>IF(B206="","",C206-D206)</x:f>
        <x:v>0</x:v>
      </x:c>
      <x:c r="F206" s="37" t="n">
        <x:f>IF(B206="","",F205+E206)</x:f>
        <x:v>22125</x:v>
      </x:c>
      <x:c r="G206" s="37" t="n">
        <x:f>IF(OR(B206="",$I$6&lt;&gt;"Complete"),"",SUMIFS($D$32:$D$51,$C$32:$C$51,B206,$I$32:$I$51,"Ready"))</x:f>
        <x:v>0</x:v>
      </x:c>
      <x:c r="H206" s="37" t="n">
        <x:f>IF(OR(B206="",$I$6&lt;&gt;"Complete"),"",SUMIFS($E$32:$E$51,$C$32:$C$51,B206,$I$32:$I$51,"Ready"))</x:f>
        <x:v>0</x:v>
      </x:c>
      <x:c r="I206" s="37" t="n">
        <x:f>IF(OR(B206="",$I$6&lt;&gt;"Complete"),"",I205+E206+G206-H206)</x:f>
        <x:v>102125</x:v>
      </x:c>
      <x:c r="J206" s="37" t="n">
        <x:f>IF(OR(B206="",$I$6&lt;&gt;"Complete"),"",'Inputs'!$C$49)</x:f>
        <x:v>25000</x:v>
      </x:c>
      <x:c r="K206" s="37" t="n">
        <x:f>IF(OR(B206="",$I$6&lt;&gt;"Complete"),"",I206-J206)</x:f>
        <x:v>77125</x:v>
      </x:c>
      <x:c r="L206" s="61" t="n">
        <x:f>IF(OR(B206="",$I$6&lt;&gt;"Complete"),"",IF(K206&lt;0,1,0))</x:f>
        <x:v>0</x:v>
      </x:c>
    </x:row>
    <x:row r="207" ht="23" customHeight="1">
      <x:c r="A207" s="2"/>
      <x:c r="B207" s="60" t="n">
        <x:f>IF($D$6&lt;&gt;"Complete","",IF('Inputs'!$C$47+137&lt;=$D$9,'Inputs'!$C$47+137,""))</x:f>
        <x:v>46423</x:v>
      </x:c>
      <x:c r="C207" s="37" t="n">
        <x:f>IF(B207="","",SUMIFS($D$14:$D$23,$C$14:$C$23,B207))</x:f>
        <x:v>0</x:v>
      </x:c>
      <x:c r="D207" s="37" t="n">
        <x:f>IF(B207="","",SUMIFS($E$14:$E$23,$C$14:$C$23,B207))</x:f>
        <x:v>0</x:v>
      </x:c>
      <x:c r="E207" s="37" t="n">
        <x:f>IF(B207="","",C207-D207)</x:f>
        <x:v>0</x:v>
      </x:c>
      <x:c r="F207" s="37" t="n">
        <x:f>IF(B207="","",F206+E207)</x:f>
        <x:v>22125</x:v>
      </x:c>
      <x:c r="G207" s="37" t="n">
        <x:f>IF(OR(B207="",$I$6&lt;&gt;"Complete"),"",SUMIFS($D$32:$D$51,$C$32:$C$51,B207,$I$32:$I$51,"Ready"))</x:f>
        <x:v>0</x:v>
      </x:c>
      <x:c r="H207" s="37" t="n">
        <x:f>IF(OR(B207="",$I$6&lt;&gt;"Complete"),"",SUMIFS($E$32:$E$51,$C$32:$C$51,B207,$I$32:$I$51,"Ready"))</x:f>
        <x:v>0</x:v>
      </x:c>
      <x:c r="I207" s="37" t="n">
        <x:f>IF(OR(B207="",$I$6&lt;&gt;"Complete"),"",I206+E207+G207-H207)</x:f>
        <x:v>102125</x:v>
      </x:c>
      <x:c r="J207" s="37" t="n">
        <x:f>IF(OR(B207="",$I$6&lt;&gt;"Complete"),"",'Inputs'!$C$49)</x:f>
        <x:v>25000</x:v>
      </x:c>
      <x:c r="K207" s="37" t="n">
        <x:f>IF(OR(B207="",$I$6&lt;&gt;"Complete"),"",I207-J207)</x:f>
        <x:v>77125</x:v>
      </x:c>
      <x:c r="L207" s="61" t="n">
        <x:f>IF(OR(B207="",$I$6&lt;&gt;"Complete"),"",IF(K207&lt;0,1,0))</x:f>
        <x:v>0</x:v>
      </x:c>
    </x:row>
    <x:row r="208" ht="23" customHeight="1">
      <x:c r="A208" s="2"/>
      <x:c r="B208" s="60" t="n">
        <x:f>IF($D$6&lt;&gt;"Complete","",IF('Inputs'!$C$47+138&lt;=$D$9,'Inputs'!$C$47+138,""))</x:f>
        <x:v>46424</x:v>
      </x:c>
      <x:c r="C208" s="37" t="n">
        <x:f>IF(B208="","",SUMIFS($D$14:$D$23,$C$14:$C$23,B208))</x:f>
        <x:v>0</x:v>
      </x:c>
      <x:c r="D208" s="37" t="n">
        <x:f>IF(B208="","",SUMIFS($E$14:$E$23,$C$14:$C$23,B208))</x:f>
        <x:v>0</x:v>
      </x:c>
      <x:c r="E208" s="37" t="n">
        <x:f>IF(B208="","",C208-D208)</x:f>
        <x:v>0</x:v>
      </x:c>
      <x:c r="F208" s="37" t="n">
        <x:f>IF(B208="","",F207+E208)</x:f>
        <x:v>22125</x:v>
      </x:c>
      <x:c r="G208" s="37" t="n">
        <x:f>IF(OR(B208="",$I$6&lt;&gt;"Complete"),"",SUMIFS($D$32:$D$51,$C$32:$C$51,B208,$I$32:$I$51,"Ready"))</x:f>
        <x:v>0</x:v>
      </x:c>
      <x:c r="H208" s="37" t="n">
        <x:f>IF(OR(B208="",$I$6&lt;&gt;"Complete"),"",SUMIFS($E$32:$E$51,$C$32:$C$51,B208,$I$32:$I$51,"Ready"))</x:f>
        <x:v>0</x:v>
      </x:c>
      <x:c r="I208" s="37" t="n">
        <x:f>IF(OR(B208="",$I$6&lt;&gt;"Complete"),"",I207+E208+G208-H208)</x:f>
        <x:v>102125</x:v>
      </x:c>
      <x:c r="J208" s="37" t="n">
        <x:f>IF(OR(B208="",$I$6&lt;&gt;"Complete"),"",'Inputs'!$C$49)</x:f>
        <x:v>25000</x:v>
      </x:c>
      <x:c r="K208" s="37" t="n">
        <x:f>IF(OR(B208="",$I$6&lt;&gt;"Complete"),"",I208-J208)</x:f>
        <x:v>77125</x:v>
      </x:c>
      <x:c r="L208" s="61" t="n">
        <x:f>IF(OR(B208="",$I$6&lt;&gt;"Complete"),"",IF(K208&lt;0,1,0))</x:f>
        <x:v>0</x:v>
      </x:c>
    </x:row>
    <x:row r="209" ht="23" customHeight="1">
      <x:c r="A209" s="2"/>
      <x:c r="B209" s="60" t="n">
        <x:f>IF($D$6&lt;&gt;"Complete","",IF('Inputs'!$C$47+139&lt;=$D$9,'Inputs'!$C$47+139,""))</x:f>
        <x:v>46425</x:v>
      </x:c>
      <x:c r="C209" s="37" t="n">
        <x:f>IF(B209="","",SUMIFS($D$14:$D$23,$C$14:$C$23,B209))</x:f>
        <x:v>0</x:v>
      </x:c>
      <x:c r="D209" s="37" t="n">
        <x:f>IF(B209="","",SUMIFS($E$14:$E$23,$C$14:$C$23,B209))</x:f>
        <x:v>0</x:v>
      </x:c>
      <x:c r="E209" s="37" t="n">
        <x:f>IF(B209="","",C209-D209)</x:f>
        <x:v>0</x:v>
      </x:c>
      <x:c r="F209" s="37" t="n">
        <x:f>IF(B209="","",F208+E209)</x:f>
        <x:v>22125</x:v>
      </x:c>
      <x:c r="G209" s="37" t="n">
        <x:f>IF(OR(B209="",$I$6&lt;&gt;"Complete"),"",SUMIFS($D$32:$D$51,$C$32:$C$51,B209,$I$32:$I$51,"Ready"))</x:f>
        <x:v>0</x:v>
      </x:c>
      <x:c r="H209" s="37" t="n">
        <x:f>IF(OR(B209="",$I$6&lt;&gt;"Complete"),"",SUMIFS($E$32:$E$51,$C$32:$C$51,B209,$I$32:$I$51,"Ready"))</x:f>
        <x:v>0</x:v>
      </x:c>
      <x:c r="I209" s="37" t="n">
        <x:f>IF(OR(B209="",$I$6&lt;&gt;"Complete"),"",I208+E209+G209-H209)</x:f>
        <x:v>102125</x:v>
      </x:c>
      <x:c r="J209" s="37" t="n">
        <x:f>IF(OR(B209="",$I$6&lt;&gt;"Complete"),"",'Inputs'!$C$49)</x:f>
        <x:v>25000</x:v>
      </x:c>
      <x:c r="K209" s="37" t="n">
        <x:f>IF(OR(B209="",$I$6&lt;&gt;"Complete"),"",I209-J209)</x:f>
        <x:v>77125</x:v>
      </x:c>
      <x:c r="L209" s="61" t="n">
        <x:f>IF(OR(B209="",$I$6&lt;&gt;"Complete"),"",IF(K209&lt;0,1,0))</x:f>
        <x:v>0</x:v>
      </x:c>
    </x:row>
    <x:row r="210" ht="23" customHeight="1">
      <x:c r="A210" s="2"/>
      <x:c r="B210" s="60" t="n">
        <x:f>IF($D$6&lt;&gt;"Complete","",IF('Inputs'!$C$47+140&lt;=$D$9,'Inputs'!$C$47+140,""))</x:f>
        <x:v>46426</x:v>
      </x:c>
      <x:c r="C210" s="37" t="n">
        <x:f>IF(B210="","",SUMIFS($D$14:$D$23,$C$14:$C$23,B210))</x:f>
        <x:v>0</x:v>
      </x:c>
      <x:c r="D210" s="37" t="n">
        <x:f>IF(B210="","",SUMIFS($E$14:$E$23,$C$14:$C$23,B210))</x:f>
        <x:v>0</x:v>
      </x:c>
      <x:c r="E210" s="37" t="n">
        <x:f>IF(B210="","",C210-D210)</x:f>
        <x:v>0</x:v>
      </x:c>
      <x:c r="F210" s="37" t="n">
        <x:f>IF(B210="","",F209+E210)</x:f>
        <x:v>22125</x:v>
      </x:c>
      <x:c r="G210" s="37" t="n">
        <x:f>IF(OR(B210="",$I$6&lt;&gt;"Complete"),"",SUMIFS($D$32:$D$51,$C$32:$C$51,B210,$I$32:$I$51,"Ready"))</x:f>
        <x:v>0</x:v>
      </x:c>
      <x:c r="H210" s="37" t="n">
        <x:f>IF(OR(B210="",$I$6&lt;&gt;"Complete"),"",SUMIFS($E$32:$E$51,$C$32:$C$51,B210,$I$32:$I$51,"Ready"))</x:f>
        <x:v>0</x:v>
      </x:c>
      <x:c r="I210" s="37" t="n">
        <x:f>IF(OR(B210="",$I$6&lt;&gt;"Complete"),"",I209+E210+G210-H210)</x:f>
        <x:v>102125</x:v>
      </x:c>
      <x:c r="J210" s="37" t="n">
        <x:f>IF(OR(B210="",$I$6&lt;&gt;"Complete"),"",'Inputs'!$C$49)</x:f>
        <x:v>25000</x:v>
      </x:c>
      <x:c r="K210" s="37" t="n">
        <x:f>IF(OR(B210="",$I$6&lt;&gt;"Complete"),"",I210-J210)</x:f>
        <x:v>77125</x:v>
      </x:c>
      <x:c r="L210" s="61" t="n">
        <x:f>IF(OR(B210="",$I$6&lt;&gt;"Complete"),"",IF(K210&lt;0,1,0))</x:f>
        <x:v>0</x:v>
      </x:c>
    </x:row>
    <x:row r="211" ht="23" customHeight="1">
      <x:c r="A211" s="2"/>
      <x:c r="B211" s="60" t="n">
        <x:f>IF($D$6&lt;&gt;"Complete","",IF('Inputs'!$C$47+141&lt;=$D$9,'Inputs'!$C$47+141,""))</x:f>
        <x:v>46427</x:v>
      </x:c>
      <x:c r="C211" s="37" t="n">
        <x:f>IF(B211="","",SUMIFS($D$14:$D$23,$C$14:$C$23,B211))</x:f>
        <x:v>0</x:v>
      </x:c>
      <x:c r="D211" s="37" t="n">
        <x:f>IF(B211="","",SUMIFS($E$14:$E$23,$C$14:$C$23,B211))</x:f>
        <x:v>0</x:v>
      </x:c>
      <x:c r="E211" s="37" t="n">
        <x:f>IF(B211="","",C211-D211)</x:f>
        <x:v>0</x:v>
      </x:c>
      <x:c r="F211" s="37" t="n">
        <x:f>IF(B211="","",F210+E211)</x:f>
        <x:v>22125</x:v>
      </x:c>
      <x:c r="G211" s="37" t="n">
        <x:f>IF(OR(B211="",$I$6&lt;&gt;"Complete"),"",SUMIFS($D$32:$D$51,$C$32:$C$51,B211,$I$32:$I$51,"Ready"))</x:f>
        <x:v>0</x:v>
      </x:c>
      <x:c r="H211" s="37" t="n">
        <x:f>IF(OR(B211="",$I$6&lt;&gt;"Complete"),"",SUMIFS($E$32:$E$51,$C$32:$C$51,B211,$I$32:$I$51,"Ready"))</x:f>
        <x:v>0</x:v>
      </x:c>
      <x:c r="I211" s="37" t="n">
        <x:f>IF(OR(B211="",$I$6&lt;&gt;"Complete"),"",I210+E211+G211-H211)</x:f>
        <x:v>102125</x:v>
      </x:c>
      <x:c r="J211" s="37" t="n">
        <x:f>IF(OR(B211="",$I$6&lt;&gt;"Complete"),"",'Inputs'!$C$49)</x:f>
        <x:v>25000</x:v>
      </x:c>
      <x:c r="K211" s="37" t="n">
        <x:f>IF(OR(B211="",$I$6&lt;&gt;"Complete"),"",I211-J211)</x:f>
        <x:v>77125</x:v>
      </x:c>
      <x:c r="L211" s="61" t="n">
        <x:f>IF(OR(B211="",$I$6&lt;&gt;"Complete"),"",IF(K211&lt;0,1,0))</x:f>
        <x:v>0</x:v>
      </x:c>
    </x:row>
    <x:row r="212" ht="23" customHeight="1">
      <x:c r="A212" s="2"/>
      <x:c r="B212" s="60" t="n">
        <x:f>IF($D$6&lt;&gt;"Complete","",IF('Inputs'!$C$47+142&lt;=$D$9,'Inputs'!$C$47+142,""))</x:f>
        <x:v>46428</x:v>
      </x:c>
      <x:c r="C212" s="37" t="n">
        <x:f>IF(B212="","",SUMIFS($D$14:$D$23,$C$14:$C$23,B212))</x:f>
        <x:v>0</x:v>
      </x:c>
      <x:c r="D212" s="37" t="n">
        <x:f>IF(B212="","",SUMIFS($E$14:$E$23,$C$14:$C$23,B212))</x:f>
        <x:v>0</x:v>
      </x:c>
      <x:c r="E212" s="37" t="n">
        <x:f>IF(B212="","",C212-D212)</x:f>
        <x:v>0</x:v>
      </x:c>
      <x:c r="F212" s="37" t="n">
        <x:f>IF(B212="","",F211+E212)</x:f>
        <x:v>22125</x:v>
      </x:c>
      <x:c r="G212" s="37" t="n">
        <x:f>IF(OR(B212="",$I$6&lt;&gt;"Complete"),"",SUMIFS($D$32:$D$51,$C$32:$C$51,B212,$I$32:$I$51,"Ready"))</x:f>
        <x:v>0</x:v>
      </x:c>
      <x:c r="H212" s="37" t="n">
        <x:f>IF(OR(B212="",$I$6&lt;&gt;"Complete"),"",SUMIFS($E$32:$E$51,$C$32:$C$51,B212,$I$32:$I$51,"Ready"))</x:f>
        <x:v>0</x:v>
      </x:c>
      <x:c r="I212" s="37" t="n">
        <x:f>IF(OR(B212="",$I$6&lt;&gt;"Complete"),"",I211+E212+G212-H212)</x:f>
        <x:v>102125</x:v>
      </x:c>
      <x:c r="J212" s="37" t="n">
        <x:f>IF(OR(B212="",$I$6&lt;&gt;"Complete"),"",'Inputs'!$C$49)</x:f>
        <x:v>25000</x:v>
      </x:c>
      <x:c r="K212" s="37" t="n">
        <x:f>IF(OR(B212="",$I$6&lt;&gt;"Complete"),"",I212-J212)</x:f>
        <x:v>77125</x:v>
      </x:c>
      <x:c r="L212" s="61" t="n">
        <x:f>IF(OR(B212="",$I$6&lt;&gt;"Complete"),"",IF(K212&lt;0,1,0))</x:f>
        <x:v>0</x:v>
      </x:c>
    </x:row>
    <x:row r="213" ht="23" customHeight="1">
      <x:c r="A213" s="2"/>
      <x:c r="B213" s="60" t="n">
        <x:f>IF($D$6&lt;&gt;"Complete","",IF('Inputs'!$C$47+143&lt;=$D$9,'Inputs'!$C$47+143,""))</x:f>
        <x:v>46429</x:v>
      </x:c>
      <x:c r="C213" s="37" t="n">
        <x:f>IF(B213="","",SUMIFS($D$14:$D$23,$C$14:$C$23,B213))</x:f>
        <x:v>0</x:v>
      </x:c>
      <x:c r="D213" s="37" t="n">
        <x:f>IF(B213="","",SUMIFS($E$14:$E$23,$C$14:$C$23,B213))</x:f>
        <x:v>0</x:v>
      </x:c>
      <x:c r="E213" s="37" t="n">
        <x:f>IF(B213="","",C213-D213)</x:f>
        <x:v>0</x:v>
      </x:c>
      <x:c r="F213" s="37" t="n">
        <x:f>IF(B213="","",F212+E213)</x:f>
        <x:v>22125</x:v>
      </x:c>
      <x:c r="G213" s="37" t="n">
        <x:f>IF(OR(B213="",$I$6&lt;&gt;"Complete"),"",SUMIFS($D$32:$D$51,$C$32:$C$51,B213,$I$32:$I$51,"Ready"))</x:f>
        <x:v>0</x:v>
      </x:c>
      <x:c r="H213" s="37" t="n">
        <x:f>IF(OR(B213="",$I$6&lt;&gt;"Complete"),"",SUMIFS($E$32:$E$51,$C$32:$C$51,B213,$I$32:$I$51,"Ready"))</x:f>
        <x:v>0</x:v>
      </x:c>
      <x:c r="I213" s="37" t="n">
        <x:f>IF(OR(B213="",$I$6&lt;&gt;"Complete"),"",I212+E213+G213-H213)</x:f>
        <x:v>102125</x:v>
      </x:c>
      <x:c r="J213" s="37" t="n">
        <x:f>IF(OR(B213="",$I$6&lt;&gt;"Complete"),"",'Inputs'!$C$49)</x:f>
        <x:v>25000</x:v>
      </x:c>
      <x:c r="K213" s="37" t="n">
        <x:f>IF(OR(B213="",$I$6&lt;&gt;"Complete"),"",I213-J213)</x:f>
        <x:v>77125</x:v>
      </x:c>
      <x:c r="L213" s="61" t="n">
        <x:f>IF(OR(B213="",$I$6&lt;&gt;"Complete"),"",IF(K213&lt;0,1,0))</x:f>
        <x:v>0</x:v>
      </x:c>
    </x:row>
    <x:row r="214" ht="23" customHeight="1">
      <x:c r="A214" s="2"/>
      <x:c r="B214" s="60" t="n">
        <x:f>IF($D$6&lt;&gt;"Complete","",IF('Inputs'!$C$47+144&lt;=$D$9,'Inputs'!$C$47+144,""))</x:f>
        <x:v>46430</x:v>
      </x:c>
      <x:c r="C214" s="37" t="n">
        <x:f>IF(B214="","",SUMIFS($D$14:$D$23,$C$14:$C$23,B214))</x:f>
        <x:v>0</x:v>
      </x:c>
      <x:c r="D214" s="37" t="n">
        <x:f>IF(B214="","",SUMIFS($E$14:$E$23,$C$14:$C$23,B214))</x:f>
        <x:v>0</x:v>
      </x:c>
      <x:c r="E214" s="37" t="n">
        <x:f>IF(B214="","",C214-D214)</x:f>
        <x:v>0</x:v>
      </x:c>
      <x:c r="F214" s="37" t="n">
        <x:f>IF(B214="","",F213+E214)</x:f>
        <x:v>22125</x:v>
      </x:c>
      <x:c r="G214" s="37" t="n">
        <x:f>IF(OR(B214="",$I$6&lt;&gt;"Complete"),"",SUMIFS($D$32:$D$51,$C$32:$C$51,B214,$I$32:$I$51,"Ready"))</x:f>
        <x:v>0</x:v>
      </x:c>
      <x:c r="H214" s="37" t="n">
        <x:f>IF(OR(B214="",$I$6&lt;&gt;"Complete"),"",SUMIFS($E$32:$E$51,$C$32:$C$51,B214,$I$32:$I$51,"Ready"))</x:f>
        <x:v>0</x:v>
      </x:c>
      <x:c r="I214" s="37" t="n">
        <x:f>IF(OR(B214="",$I$6&lt;&gt;"Complete"),"",I213+E214+G214-H214)</x:f>
        <x:v>102125</x:v>
      </x:c>
      <x:c r="J214" s="37" t="n">
        <x:f>IF(OR(B214="",$I$6&lt;&gt;"Complete"),"",'Inputs'!$C$49)</x:f>
        <x:v>25000</x:v>
      </x:c>
      <x:c r="K214" s="37" t="n">
        <x:f>IF(OR(B214="",$I$6&lt;&gt;"Complete"),"",I214-J214)</x:f>
        <x:v>77125</x:v>
      </x:c>
      <x:c r="L214" s="61" t="n">
        <x:f>IF(OR(B214="",$I$6&lt;&gt;"Complete"),"",IF(K214&lt;0,1,0))</x:f>
        <x:v>0</x:v>
      </x:c>
    </x:row>
    <x:row r="215" ht="23" customHeight="1">
      <x:c r="A215" s="2"/>
      <x:c r="B215" s="60" t="n">
        <x:f>IF($D$6&lt;&gt;"Complete","",IF('Inputs'!$C$47+145&lt;=$D$9,'Inputs'!$C$47+145,""))</x:f>
        <x:v>46431</x:v>
      </x:c>
      <x:c r="C215" s="37" t="n">
        <x:f>IF(B215="","",SUMIFS($D$14:$D$23,$C$14:$C$23,B215))</x:f>
        <x:v>0</x:v>
      </x:c>
      <x:c r="D215" s="37" t="n">
        <x:f>IF(B215="","",SUMIFS($E$14:$E$23,$C$14:$C$23,B215))</x:f>
        <x:v>0</x:v>
      </x:c>
      <x:c r="E215" s="37" t="n">
        <x:f>IF(B215="","",C215-D215)</x:f>
        <x:v>0</x:v>
      </x:c>
      <x:c r="F215" s="37" t="n">
        <x:f>IF(B215="","",F214+E215)</x:f>
        <x:v>22125</x:v>
      </x:c>
      <x:c r="G215" s="37" t="n">
        <x:f>IF(OR(B215="",$I$6&lt;&gt;"Complete"),"",SUMIFS($D$32:$D$51,$C$32:$C$51,B215,$I$32:$I$51,"Ready"))</x:f>
        <x:v>0</x:v>
      </x:c>
      <x:c r="H215" s="37" t="n">
        <x:f>IF(OR(B215="",$I$6&lt;&gt;"Complete"),"",SUMIFS($E$32:$E$51,$C$32:$C$51,B215,$I$32:$I$51,"Ready"))</x:f>
        <x:v>0</x:v>
      </x:c>
      <x:c r="I215" s="37" t="n">
        <x:f>IF(OR(B215="",$I$6&lt;&gt;"Complete"),"",I214+E215+G215-H215)</x:f>
        <x:v>102125</x:v>
      </x:c>
      <x:c r="J215" s="37" t="n">
        <x:f>IF(OR(B215="",$I$6&lt;&gt;"Complete"),"",'Inputs'!$C$49)</x:f>
        <x:v>25000</x:v>
      </x:c>
      <x:c r="K215" s="37" t="n">
        <x:f>IF(OR(B215="",$I$6&lt;&gt;"Complete"),"",I215-J215)</x:f>
        <x:v>77125</x:v>
      </x:c>
      <x:c r="L215" s="61" t="n">
        <x:f>IF(OR(B215="",$I$6&lt;&gt;"Complete"),"",IF(K215&lt;0,1,0))</x:f>
        <x:v>0</x:v>
      </x:c>
    </x:row>
    <x:row r="216" ht="23" customHeight="1">
      <x:c r="A216" s="2"/>
      <x:c r="B216" s="60" t="n">
        <x:f>IF($D$6&lt;&gt;"Complete","",IF('Inputs'!$C$47+146&lt;=$D$9,'Inputs'!$C$47+146,""))</x:f>
        <x:v>46432</x:v>
      </x:c>
      <x:c r="C216" s="37" t="n">
        <x:f>IF(B216="","",SUMIFS($D$14:$D$23,$C$14:$C$23,B216))</x:f>
        <x:v>0</x:v>
      </x:c>
      <x:c r="D216" s="37" t="n">
        <x:f>IF(B216="","",SUMIFS($E$14:$E$23,$C$14:$C$23,B216))</x:f>
        <x:v>0</x:v>
      </x:c>
      <x:c r="E216" s="37" t="n">
        <x:f>IF(B216="","",C216-D216)</x:f>
        <x:v>0</x:v>
      </x:c>
      <x:c r="F216" s="37" t="n">
        <x:f>IF(B216="","",F215+E216)</x:f>
        <x:v>22125</x:v>
      </x:c>
      <x:c r="G216" s="37" t="n">
        <x:f>IF(OR(B216="",$I$6&lt;&gt;"Complete"),"",SUMIFS($D$32:$D$51,$C$32:$C$51,B216,$I$32:$I$51,"Ready"))</x:f>
        <x:v>0</x:v>
      </x:c>
      <x:c r="H216" s="37" t="n">
        <x:f>IF(OR(B216="",$I$6&lt;&gt;"Complete"),"",SUMIFS($E$32:$E$51,$C$32:$C$51,B216,$I$32:$I$51,"Ready"))</x:f>
        <x:v>0</x:v>
      </x:c>
      <x:c r="I216" s="37" t="n">
        <x:f>IF(OR(B216="",$I$6&lt;&gt;"Complete"),"",I215+E216+G216-H216)</x:f>
        <x:v>102125</x:v>
      </x:c>
      <x:c r="J216" s="37" t="n">
        <x:f>IF(OR(B216="",$I$6&lt;&gt;"Complete"),"",'Inputs'!$C$49)</x:f>
        <x:v>25000</x:v>
      </x:c>
      <x:c r="K216" s="37" t="n">
        <x:f>IF(OR(B216="",$I$6&lt;&gt;"Complete"),"",I216-J216)</x:f>
        <x:v>77125</x:v>
      </x:c>
      <x:c r="L216" s="61" t="n">
        <x:f>IF(OR(B216="",$I$6&lt;&gt;"Complete"),"",IF(K216&lt;0,1,0))</x:f>
        <x:v>0</x:v>
      </x:c>
    </x:row>
    <x:row r="217" ht="23" customHeight="1">
      <x:c r="A217" s="2"/>
      <x:c r="B217" s="60" t="n">
        <x:f>IF($D$6&lt;&gt;"Complete","",IF('Inputs'!$C$47+147&lt;=$D$9,'Inputs'!$C$47+147,""))</x:f>
        <x:v>46433</x:v>
      </x:c>
      <x:c r="C217" s="37" t="n">
        <x:f>IF(B217="","",SUMIFS($D$14:$D$23,$C$14:$C$23,B217))</x:f>
        <x:v>0</x:v>
      </x:c>
      <x:c r="D217" s="37" t="n">
        <x:f>IF(B217="","",SUMIFS($E$14:$E$23,$C$14:$C$23,B217))</x:f>
        <x:v>0</x:v>
      </x:c>
      <x:c r="E217" s="37" t="n">
        <x:f>IF(B217="","",C217-D217)</x:f>
        <x:v>0</x:v>
      </x:c>
      <x:c r="F217" s="37" t="n">
        <x:f>IF(B217="","",F216+E217)</x:f>
        <x:v>22125</x:v>
      </x:c>
      <x:c r="G217" s="37" t="n">
        <x:f>IF(OR(B217="",$I$6&lt;&gt;"Complete"),"",SUMIFS($D$32:$D$51,$C$32:$C$51,B217,$I$32:$I$51,"Ready"))</x:f>
        <x:v>0</x:v>
      </x:c>
      <x:c r="H217" s="37" t="n">
        <x:f>IF(OR(B217="",$I$6&lt;&gt;"Complete"),"",SUMIFS($E$32:$E$51,$C$32:$C$51,B217,$I$32:$I$51,"Ready"))</x:f>
        <x:v>0</x:v>
      </x:c>
      <x:c r="I217" s="37" t="n">
        <x:f>IF(OR(B217="",$I$6&lt;&gt;"Complete"),"",I216+E217+G217-H217)</x:f>
        <x:v>102125</x:v>
      </x:c>
      <x:c r="J217" s="37" t="n">
        <x:f>IF(OR(B217="",$I$6&lt;&gt;"Complete"),"",'Inputs'!$C$49)</x:f>
        <x:v>25000</x:v>
      </x:c>
      <x:c r="K217" s="37" t="n">
        <x:f>IF(OR(B217="",$I$6&lt;&gt;"Complete"),"",I217-J217)</x:f>
        <x:v>77125</x:v>
      </x:c>
      <x:c r="L217" s="61" t="n">
        <x:f>IF(OR(B217="",$I$6&lt;&gt;"Complete"),"",IF(K217&lt;0,1,0))</x:f>
        <x:v>0</x:v>
      </x:c>
    </x:row>
    <x:row r="218" ht="23" customHeight="1">
      <x:c r="A218" s="2"/>
      <x:c r="B218" s="60" t="n">
        <x:f>IF($D$6&lt;&gt;"Complete","",IF('Inputs'!$C$47+148&lt;=$D$9,'Inputs'!$C$47+148,""))</x:f>
        <x:v>46434</x:v>
      </x:c>
      <x:c r="C218" s="37" t="n">
        <x:f>IF(B218="","",SUMIFS($D$14:$D$23,$C$14:$C$23,B218))</x:f>
        <x:v>0</x:v>
      </x:c>
      <x:c r="D218" s="37" t="n">
        <x:f>IF(B218="","",SUMIFS($E$14:$E$23,$C$14:$C$23,B218))</x:f>
        <x:v>0</x:v>
      </x:c>
      <x:c r="E218" s="37" t="n">
        <x:f>IF(B218="","",C218-D218)</x:f>
        <x:v>0</x:v>
      </x:c>
      <x:c r="F218" s="37" t="n">
        <x:f>IF(B218="","",F217+E218)</x:f>
        <x:v>22125</x:v>
      </x:c>
      <x:c r="G218" s="37" t="n">
        <x:f>IF(OR(B218="",$I$6&lt;&gt;"Complete"),"",SUMIFS($D$32:$D$51,$C$32:$C$51,B218,$I$32:$I$51,"Ready"))</x:f>
        <x:v>0</x:v>
      </x:c>
      <x:c r="H218" s="37" t="n">
        <x:f>IF(OR(B218="",$I$6&lt;&gt;"Complete"),"",SUMIFS($E$32:$E$51,$C$32:$C$51,B218,$I$32:$I$51,"Ready"))</x:f>
        <x:v>0</x:v>
      </x:c>
      <x:c r="I218" s="37" t="n">
        <x:f>IF(OR(B218="",$I$6&lt;&gt;"Complete"),"",I217+E218+G218-H218)</x:f>
        <x:v>102125</x:v>
      </x:c>
      <x:c r="J218" s="37" t="n">
        <x:f>IF(OR(B218="",$I$6&lt;&gt;"Complete"),"",'Inputs'!$C$49)</x:f>
        <x:v>25000</x:v>
      </x:c>
      <x:c r="K218" s="37" t="n">
        <x:f>IF(OR(B218="",$I$6&lt;&gt;"Complete"),"",I218-J218)</x:f>
        <x:v>77125</x:v>
      </x:c>
      <x:c r="L218" s="61" t="n">
        <x:f>IF(OR(B218="",$I$6&lt;&gt;"Complete"),"",IF(K218&lt;0,1,0))</x:f>
        <x:v>0</x:v>
      </x:c>
    </x:row>
    <x:row r="219" ht="23" customHeight="1">
      <x:c r="A219" s="2"/>
      <x:c r="B219" s="60" t="n">
        <x:f>IF($D$6&lt;&gt;"Complete","",IF('Inputs'!$C$47+149&lt;=$D$9,'Inputs'!$C$47+149,""))</x:f>
        <x:v>46435</x:v>
      </x:c>
      <x:c r="C219" s="37" t="n">
        <x:f>IF(B219="","",SUMIFS($D$14:$D$23,$C$14:$C$23,B219))</x:f>
        <x:v>0</x:v>
      </x:c>
      <x:c r="D219" s="37" t="n">
        <x:f>IF(B219="","",SUMIFS($E$14:$E$23,$C$14:$C$23,B219))</x:f>
        <x:v>0</x:v>
      </x:c>
      <x:c r="E219" s="37" t="n">
        <x:f>IF(B219="","",C219-D219)</x:f>
        <x:v>0</x:v>
      </x:c>
      <x:c r="F219" s="37" t="n">
        <x:f>IF(B219="","",F218+E219)</x:f>
        <x:v>22125</x:v>
      </x:c>
      <x:c r="G219" s="37" t="n">
        <x:f>IF(OR(B219="",$I$6&lt;&gt;"Complete"),"",SUMIFS($D$32:$D$51,$C$32:$C$51,B219,$I$32:$I$51,"Ready"))</x:f>
        <x:v>0</x:v>
      </x:c>
      <x:c r="H219" s="37" t="n">
        <x:f>IF(OR(B219="",$I$6&lt;&gt;"Complete"),"",SUMIFS($E$32:$E$51,$C$32:$C$51,B219,$I$32:$I$51,"Ready"))</x:f>
        <x:v>0</x:v>
      </x:c>
      <x:c r="I219" s="37" t="n">
        <x:f>IF(OR(B219="",$I$6&lt;&gt;"Complete"),"",I218+E219+G219-H219)</x:f>
        <x:v>102125</x:v>
      </x:c>
      <x:c r="J219" s="37" t="n">
        <x:f>IF(OR(B219="",$I$6&lt;&gt;"Complete"),"",'Inputs'!$C$49)</x:f>
        <x:v>25000</x:v>
      </x:c>
      <x:c r="K219" s="37" t="n">
        <x:f>IF(OR(B219="",$I$6&lt;&gt;"Complete"),"",I219-J219)</x:f>
        <x:v>77125</x:v>
      </x:c>
      <x:c r="L219" s="61" t="n">
        <x:f>IF(OR(B219="",$I$6&lt;&gt;"Complete"),"",IF(K219&lt;0,1,0))</x:f>
        <x:v>0</x:v>
      </x:c>
    </x:row>
    <x:row r="220" ht="23" customHeight="1">
      <x:c r="A220" s="2"/>
      <x:c r="B220" s="60" t="n">
        <x:f>IF($D$6&lt;&gt;"Complete","",IF('Inputs'!$C$47+150&lt;=$D$9,'Inputs'!$C$47+150,""))</x:f>
        <x:v>46436</x:v>
      </x:c>
      <x:c r="C220" s="37" t="n">
        <x:f>IF(B220="","",SUMIFS($D$14:$D$23,$C$14:$C$23,B220))</x:f>
        <x:v>0</x:v>
      </x:c>
      <x:c r="D220" s="37" t="n">
        <x:f>IF(B220="","",SUMIFS($E$14:$E$23,$C$14:$C$23,B220))</x:f>
        <x:v>0</x:v>
      </x:c>
      <x:c r="E220" s="37" t="n">
        <x:f>IF(B220="","",C220-D220)</x:f>
        <x:v>0</x:v>
      </x:c>
      <x:c r="F220" s="37" t="n">
        <x:f>IF(B220="","",F219+E220)</x:f>
        <x:v>22125</x:v>
      </x:c>
      <x:c r="G220" s="37" t="n">
        <x:f>IF(OR(B220="",$I$6&lt;&gt;"Complete"),"",SUMIFS($D$32:$D$51,$C$32:$C$51,B220,$I$32:$I$51,"Ready"))</x:f>
        <x:v>0</x:v>
      </x:c>
      <x:c r="H220" s="37" t="n">
        <x:f>IF(OR(B220="",$I$6&lt;&gt;"Complete"),"",SUMIFS($E$32:$E$51,$C$32:$C$51,B220,$I$32:$I$51,"Ready"))</x:f>
        <x:v>0</x:v>
      </x:c>
      <x:c r="I220" s="37" t="n">
        <x:f>IF(OR(B220="",$I$6&lt;&gt;"Complete"),"",I219+E220+G220-H220)</x:f>
        <x:v>102125</x:v>
      </x:c>
      <x:c r="J220" s="37" t="n">
        <x:f>IF(OR(B220="",$I$6&lt;&gt;"Complete"),"",'Inputs'!$C$49)</x:f>
        <x:v>25000</x:v>
      </x:c>
      <x:c r="K220" s="37" t="n">
        <x:f>IF(OR(B220="",$I$6&lt;&gt;"Complete"),"",I220-J220)</x:f>
        <x:v>77125</x:v>
      </x:c>
      <x:c r="L220" s="61" t="n">
        <x:f>IF(OR(B220="",$I$6&lt;&gt;"Complete"),"",IF(K220&lt;0,1,0))</x:f>
        <x:v>0</x:v>
      </x:c>
    </x:row>
    <x:row r="221" ht="23" customHeight="1">
      <x:c r="A221" s="2"/>
      <x:c r="B221" s="60" t="n">
        <x:f>IF($D$6&lt;&gt;"Complete","",IF('Inputs'!$C$47+151&lt;=$D$9,'Inputs'!$C$47+151,""))</x:f>
        <x:v>46437</x:v>
      </x:c>
      <x:c r="C221" s="37" t="n">
        <x:f>IF(B221="","",SUMIFS($D$14:$D$23,$C$14:$C$23,B221))</x:f>
        <x:v>0</x:v>
      </x:c>
      <x:c r="D221" s="37" t="n">
        <x:f>IF(B221="","",SUMIFS($E$14:$E$23,$C$14:$C$23,B221))</x:f>
        <x:v>0</x:v>
      </x:c>
      <x:c r="E221" s="37" t="n">
        <x:f>IF(B221="","",C221-D221)</x:f>
        <x:v>0</x:v>
      </x:c>
      <x:c r="F221" s="37" t="n">
        <x:f>IF(B221="","",F220+E221)</x:f>
        <x:v>22125</x:v>
      </x:c>
      <x:c r="G221" s="37" t="n">
        <x:f>IF(OR(B221="",$I$6&lt;&gt;"Complete"),"",SUMIFS($D$32:$D$51,$C$32:$C$51,B221,$I$32:$I$51,"Ready"))</x:f>
        <x:v>0</x:v>
      </x:c>
      <x:c r="H221" s="37" t="n">
        <x:f>IF(OR(B221="",$I$6&lt;&gt;"Complete"),"",SUMIFS($E$32:$E$51,$C$32:$C$51,B221,$I$32:$I$51,"Ready"))</x:f>
        <x:v>0</x:v>
      </x:c>
      <x:c r="I221" s="37" t="n">
        <x:f>IF(OR(B221="",$I$6&lt;&gt;"Complete"),"",I220+E221+G221-H221)</x:f>
        <x:v>102125</x:v>
      </x:c>
      <x:c r="J221" s="37" t="n">
        <x:f>IF(OR(B221="",$I$6&lt;&gt;"Complete"),"",'Inputs'!$C$49)</x:f>
        <x:v>25000</x:v>
      </x:c>
      <x:c r="K221" s="37" t="n">
        <x:f>IF(OR(B221="",$I$6&lt;&gt;"Complete"),"",I221-J221)</x:f>
        <x:v>77125</x:v>
      </x:c>
      <x:c r="L221" s="61" t="n">
        <x:f>IF(OR(B221="",$I$6&lt;&gt;"Complete"),"",IF(K221&lt;0,1,0))</x:f>
        <x:v>0</x:v>
      </x:c>
    </x:row>
    <x:row r="222" ht="23" customHeight="1">
      <x:c r="A222" s="2"/>
      <x:c r="B222" s="60" t="n">
        <x:f>IF($D$6&lt;&gt;"Complete","",IF('Inputs'!$C$47+152&lt;=$D$9,'Inputs'!$C$47+152,""))</x:f>
        <x:v>46438</x:v>
      </x:c>
      <x:c r="C222" s="37" t="n">
        <x:f>IF(B222="","",SUMIFS($D$14:$D$23,$C$14:$C$23,B222))</x:f>
        <x:v>0</x:v>
      </x:c>
      <x:c r="D222" s="37" t="n">
        <x:f>IF(B222="","",SUMIFS($E$14:$E$23,$C$14:$C$23,B222))</x:f>
        <x:v>0</x:v>
      </x:c>
      <x:c r="E222" s="37" t="n">
        <x:f>IF(B222="","",C222-D222)</x:f>
        <x:v>0</x:v>
      </x:c>
      <x:c r="F222" s="37" t="n">
        <x:f>IF(B222="","",F221+E222)</x:f>
        <x:v>22125</x:v>
      </x:c>
      <x:c r="G222" s="37" t="n">
        <x:f>IF(OR(B222="",$I$6&lt;&gt;"Complete"),"",SUMIFS($D$32:$D$51,$C$32:$C$51,B222,$I$32:$I$51,"Ready"))</x:f>
        <x:v>0</x:v>
      </x:c>
      <x:c r="H222" s="37" t="n">
        <x:f>IF(OR(B222="",$I$6&lt;&gt;"Complete"),"",SUMIFS($E$32:$E$51,$C$32:$C$51,B222,$I$32:$I$51,"Ready"))</x:f>
        <x:v>0</x:v>
      </x:c>
      <x:c r="I222" s="37" t="n">
        <x:f>IF(OR(B222="",$I$6&lt;&gt;"Complete"),"",I221+E222+G222-H222)</x:f>
        <x:v>102125</x:v>
      </x:c>
      <x:c r="J222" s="37" t="n">
        <x:f>IF(OR(B222="",$I$6&lt;&gt;"Complete"),"",'Inputs'!$C$49)</x:f>
        <x:v>25000</x:v>
      </x:c>
      <x:c r="K222" s="37" t="n">
        <x:f>IF(OR(B222="",$I$6&lt;&gt;"Complete"),"",I222-J222)</x:f>
        <x:v>77125</x:v>
      </x:c>
      <x:c r="L222" s="61" t="n">
        <x:f>IF(OR(B222="",$I$6&lt;&gt;"Complete"),"",IF(K222&lt;0,1,0))</x:f>
        <x:v>0</x:v>
      </x:c>
    </x:row>
    <x:row r="223" ht="23" customHeight="1">
      <x:c r="A223" s="2"/>
      <x:c r="B223" s="60" t="n">
        <x:f>IF($D$6&lt;&gt;"Complete","",IF('Inputs'!$C$47+153&lt;=$D$9,'Inputs'!$C$47+153,""))</x:f>
        <x:v>46439</x:v>
      </x:c>
      <x:c r="C223" s="37" t="n">
        <x:f>IF(B223="","",SUMIFS($D$14:$D$23,$C$14:$C$23,B223))</x:f>
        <x:v>0</x:v>
      </x:c>
      <x:c r="D223" s="37" t="n">
        <x:f>IF(B223="","",SUMIFS($E$14:$E$23,$C$14:$C$23,B223))</x:f>
        <x:v>0</x:v>
      </x:c>
      <x:c r="E223" s="37" t="n">
        <x:f>IF(B223="","",C223-D223)</x:f>
        <x:v>0</x:v>
      </x:c>
      <x:c r="F223" s="37" t="n">
        <x:f>IF(B223="","",F222+E223)</x:f>
        <x:v>22125</x:v>
      </x:c>
      <x:c r="G223" s="37" t="n">
        <x:f>IF(OR(B223="",$I$6&lt;&gt;"Complete"),"",SUMIFS($D$32:$D$51,$C$32:$C$51,B223,$I$32:$I$51,"Ready"))</x:f>
        <x:v>0</x:v>
      </x:c>
      <x:c r="H223" s="37" t="n">
        <x:f>IF(OR(B223="",$I$6&lt;&gt;"Complete"),"",SUMIFS($E$32:$E$51,$C$32:$C$51,B223,$I$32:$I$51,"Ready"))</x:f>
        <x:v>0</x:v>
      </x:c>
      <x:c r="I223" s="37" t="n">
        <x:f>IF(OR(B223="",$I$6&lt;&gt;"Complete"),"",I222+E223+G223-H223)</x:f>
        <x:v>102125</x:v>
      </x:c>
      <x:c r="J223" s="37" t="n">
        <x:f>IF(OR(B223="",$I$6&lt;&gt;"Complete"),"",'Inputs'!$C$49)</x:f>
        <x:v>25000</x:v>
      </x:c>
      <x:c r="K223" s="37" t="n">
        <x:f>IF(OR(B223="",$I$6&lt;&gt;"Complete"),"",I223-J223)</x:f>
        <x:v>77125</x:v>
      </x:c>
      <x:c r="L223" s="61" t="n">
        <x:f>IF(OR(B223="",$I$6&lt;&gt;"Complete"),"",IF(K223&lt;0,1,0))</x:f>
        <x:v>0</x:v>
      </x:c>
    </x:row>
    <x:row r="224" ht="23" customHeight="1">
      <x:c r="A224" s="2"/>
      <x:c r="B224" s="60" t="n">
        <x:f>IF($D$6&lt;&gt;"Complete","",IF('Inputs'!$C$47+154&lt;=$D$9,'Inputs'!$C$47+154,""))</x:f>
        <x:v>46440</x:v>
      </x:c>
      <x:c r="C224" s="37" t="n">
        <x:f>IF(B224="","",SUMIFS($D$14:$D$23,$C$14:$C$23,B224))</x:f>
        <x:v>0</x:v>
      </x:c>
      <x:c r="D224" s="37" t="n">
        <x:f>IF(B224="","",SUMIFS($E$14:$E$23,$C$14:$C$23,B224))</x:f>
        <x:v>0</x:v>
      </x:c>
      <x:c r="E224" s="37" t="n">
        <x:f>IF(B224="","",C224-D224)</x:f>
        <x:v>0</x:v>
      </x:c>
      <x:c r="F224" s="37" t="n">
        <x:f>IF(B224="","",F223+E224)</x:f>
        <x:v>22125</x:v>
      </x:c>
      <x:c r="G224" s="37" t="n">
        <x:f>IF(OR(B224="",$I$6&lt;&gt;"Complete"),"",SUMIFS($D$32:$D$51,$C$32:$C$51,B224,$I$32:$I$51,"Ready"))</x:f>
        <x:v>0</x:v>
      </x:c>
      <x:c r="H224" s="37" t="n">
        <x:f>IF(OR(B224="",$I$6&lt;&gt;"Complete"),"",SUMIFS($E$32:$E$51,$C$32:$C$51,B224,$I$32:$I$51,"Ready"))</x:f>
        <x:v>0</x:v>
      </x:c>
      <x:c r="I224" s="37" t="n">
        <x:f>IF(OR(B224="",$I$6&lt;&gt;"Complete"),"",I223+E224+G224-H224)</x:f>
        <x:v>102125</x:v>
      </x:c>
      <x:c r="J224" s="37" t="n">
        <x:f>IF(OR(B224="",$I$6&lt;&gt;"Complete"),"",'Inputs'!$C$49)</x:f>
        <x:v>25000</x:v>
      </x:c>
      <x:c r="K224" s="37" t="n">
        <x:f>IF(OR(B224="",$I$6&lt;&gt;"Complete"),"",I224-J224)</x:f>
        <x:v>77125</x:v>
      </x:c>
      <x:c r="L224" s="61" t="n">
        <x:f>IF(OR(B224="",$I$6&lt;&gt;"Complete"),"",IF(K224&lt;0,1,0))</x:f>
        <x:v>0</x:v>
      </x:c>
    </x:row>
    <x:row r="225" ht="23" customHeight="1">
      <x:c r="A225" s="2"/>
      <x:c r="B225" s="60" t="n">
        <x:f>IF($D$6&lt;&gt;"Complete","",IF('Inputs'!$C$47+155&lt;=$D$9,'Inputs'!$C$47+155,""))</x:f>
        <x:v>46441</x:v>
      </x:c>
      <x:c r="C225" s="37" t="n">
        <x:f>IF(B225="","",SUMIFS($D$14:$D$23,$C$14:$C$23,B225))</x:f>
        <x:v>0</x:v>
      </x:c>
      <x:c r="D225" s="37" t="n">
        <x:f>IF(B225="","",SUMIFS($E$14:$E$23,$C$14:$C$23,B225))</x:f>
        <x:v>0</x:v>
      </x:c>
      <x:c r="E225" s="37" t="n">
        <x:f>IF(B225="","",C225-D225)</x:f>
        <x:v>0</x:v>
      </x:c>
      <x:c r="F225" s="37" t="n">
        <x:f>IF(B225="","",F224+E225)</x:f>
        <x:v>22125</x:v>
      </x:c>
      <x:c r="G225" s="37" t="n">
        <x:f>IF(OR(B225="",$I$6&lt;&gt;"Complete"),"",SUMIFS($D$32:$D$51,$C$32:$C$51,B225,$I$32:$I$51,"Ready"))</x:f>
        <x:v>0</x:v>
      </x:c>
      <x:c r="H225" s="37" t="n">
        <x:f>IF(OR(B225="",$I$6&lt;&gt;"Complete"),"",SUMIFS($E$32:$E$51,$C$32:$C$51,B225,$I$32:$I$51,"Ready"))</x:f>
        <x:v>0</x:v>
      </x:c>
      <x:c r="I225" s="37" t="n">
        <x:f>IF(OR(B225="",$I$6&lt;&gt;"Complete"),"",I224+E225+G225-H225)</x:f>
        <x:v>102125</x:v>
      </x:c>
      <x:c r="J225" s="37" t="n">
        <x:f>IF(OR(B225="",$I$6&lt;&gt;"Complete"),"",'Inputs'!$C$49)</x:f>
        <x:v>25000</x:v>
      </x:c>
      <x:c r="K225" s="37" t="n">
        <x:f>IF(OR(B225="",$I$6&lt;&gt;"Complete"),"",I225-J225)</x:f>
        <x:v>77125</x:v>
      </x:c>
      <x:c r="L225" s="61" t="n">
        <x:f>IF(OR(B225="",$I$6&lt;&gt;"Complete"),"",IF(K225&lt;0,1,0))</x:f>
        <x:v>0</x:v>
      </x:c>
    </x:row>
    <x:row r="226" ht="23" customHeight="1">
      <x:c r="A226" s="2"/>
      <x:c r="B226" s="60" t="n">
        <x:f>IF($D$6&lt;&gt;"Complete","",IF('Inputs'!$C$47+156&lt;=$D$9,'Inputs'!$C$47+156,""))</x:f>
        <x:v>46442</x:v>
      </x:c>
      <x:c r="C226" s="37" t="n">
        <x:f>IF(B226="","",SUMIFS($D$14:$D$23,$C$14:$C$23,B226))</x:f>
        <x:v>0</x:v>
      </x:c>
      <x:c r="D226" s="37" t="n">
        <x:f>IF(B226="","",SUMIFS($E$14:$E$23,$C$14:$C$23,B226))</x:f>
        <x:v>0</x:v>
      </x:c>
      <x:c r="E226" s="37" t="n">
        <x:f>IF(B226="","",C226-D226)</x:f>
        <x:v>0</x:v>
      </x:c>
      <x:c r="F226" s="37" t="n">
        <x:f>IF(B226="","",F225+E226)</x:f>
        <x:v>22125</x:v>
      </x:c>
      <x:c r="G226" s="37" t="n">
        <x:f>IF(OR(B226="",$I$6&lt;&gt;"Complete"),"",SUMIFS($D$32:$D$51,$C$32:$C$51,B226,$I$32:$I$51,"Ready"))</x:f>
        <x:v>0</x:v>
      </x:c>
      <x:c r="H226" s="37" t="n">
        <x:f>IF(OR(B226="",$I$6&lt;&gt;"Complete"),"",SUMIFS($E$32:$E$51,$C$32:$C$51,B226,$I$32:$I$51,"Ready"))</x:f>
        <x:v>0</x:v>
      </x:c>
      <x:c r="I226" s="37" t="n">
        <x:f>IF(OR(B226="",$I$6&lt;&gt;"Complete"),"",I225+E226+G226-H226)</x:f>
        <x:v>102125</x:v>
      </x:c>
      <x:c r="J226" s="37" t="n">
        <x:f>IF(OR(B226="",$I$6&lt;&gt;"Complete"),"",'Inputs'!$C$49)</x:f>
        <x:v>25000</x:v>
      </x:c>
      <x:c r="K226" s="37" t="n">
        <x:f>IF(OR(B226="",$I$6&lt;&gt;"Complete"),"",I226-J226)</x:f>
        <x:v>77125</x:v>
      </x:c>
      <x:c r="L226" s="61" t="n">
        <x:f>IF(OR(B226="",$I$6&lt;&gt;"Complete"),"",IF(K226&lt;0,1,0))</x:f>
        <x:v>0</x:v>
      </x:c>
    </x:row>
    <x:row r="227" ht="23" customHeight="1">
      <x:c r="A227" s="2"/>
      <x:c r="B227" s="60" t="n">
        <x:f>IF($D$6&lt;&gt;"Complete","",IF('Inputs'!$C$47+157&lt;=$D$9,'Inputs'!$C$47+157,""))</x:f>
        <x:v>46443</x:v>
      </x:c>
      <x:c r="C227" s="37" t="n">
        <x:f>IF(B227="","",SUMIFS($D$14:$D$23,$C$14:$C$23,B227))</x:f>
        <x:v>0</x:v>
      </x:c>
      <x:c r="D227" s="37" t="n">
        <x:f>IF(B227="","",SUMIFS($E$14:$E$23,$C$14:$C$23,B227))</x:f>
        <x:v>0</x:v>
      </x:c>
      <x:c r="E227" s="37" t="n">
        <x:f>IF(B227="","",C227-D227)</x:f>
        <x:v>0</x:v>
      </x:c>
      <x:c r="F227" s="37" t="n">
        <x:f>IF(B227="","",F226+E227)</x:f>
        <x:v>22125</x:v>
      </x:c>
      <x:c r="G227" s="37" t="n">
        <x:f>IF(OR(B227="",$I$6&lt;&gt;"Complete"),"",SUMIFS($D$32:$D$51,$C$32:$C$51,B227,$I$32:$I$51,"Ready"))</x:f>
        <x:v>0</x:v>
      </x:c>
      <x:c r="H227" s="37" t="n">
        <x:f>IF(OR(B227="",$I$6&lt;&gt;"Complete"),"",SUMIFS($E$32:$E$51,$C$32:$C$51,B227,$I$32:$I$51,"Ready"))</x:f>
        <x:v>0</x:v>
      </x:c>
      <x:c r="I227" s="37" t="n">
        <x:f>IF(OR(B227="",$I$6&lt;&gt;"Complete"),"",I226+E227+G227-H227)</x:f>
        <x:v>102125</x:v>
      </x:c>
      <x:c r="J227" s="37" t="n">
        <x:f>IF(OR(B227="",$I$6&lt;&gt;"Complete"),"",'Inputs'!$C$49)</x:f>
        <x:v>25000</x:v>
      </x:c>
      <x:c r="K227" s="37" t="n">
        <x:f>IF(OR(B227="",$I$6&lt;&gt;"Complete"),"",I227-J227)</x:f>
        <x:v>77125</x:v>
      </x:c>
      <x:c r="L227" s="61" t="n">
        <x:f>IF(OR(B227="",$I$6&lt;&gt;"Complete"),"",IF(K227&lt;0,1,0))</x:f>
        <x:v>0</x:v>
      </x:c>
    </x:row>
    <x:row r="228" ht="23" customHeight="1">
      <x:c r="A228" s="2"/>
      <x:c r="B228" s="60" t="n">
        <x:f>IF($D$6&lt;&gt;"Complete","",IF('Inputs'!$C$47+158&lt;=$D$9,'Inputs'!$C$47+158,""))</x:f>
        <x:v>46444</x:v>
      </x:c>
      <x:c r="C228" s="37" t="n">
        <x:f>IF(B228="","",SUMIFS($D$14:$D$23,$C$14:$C$23,B228))</x:f>
        <x:v>0</x:v>
      </x:c>
      <x:c r="D228" s="37" t="n">
        <x:f>IF(B228="","",SUMIFS($E$14:$E$23,$C$14:$C$23,B228))</x:f>
        <x:v>0</x:v>
      </x:c>
      <x:c r="E228" s="37" t="n">
        <x:f>IF(B228="","",C228-D228)</x:f>
        <x:v>0</x:v>
      </x:c>
      <x:c r="F228" s="37" t="n">
        <x:f>IF(B228="","",F227+E228)</x:f>
        <x:v>22125</x:v>
      </x:c>
      <x:c r="G228" s="37" t="n">
        <x:f>IF(OR(B228="",$I$6&lt;&gt;"Complete"),"",SUMIFS($D$32:$D$51,$C$32:$C$51,B228,$I$32:$I$51,"Ready"))</x:f>
        <x:v>0</x:v>
      </x:c>
      <x:c r="H228" s="37" t="n">
        <x:f>IF(OR(B228="",$I$6&lt;&gt;"Complete"),"",SUMIFS($E$32:$E$51,$C$32:$C$51,B228,$I$32:$I$51,"Ready"))</x:f>
        <x:v>0</x:v>
      </x:c>
      <x:c r="I228" s="37" t="n">
        <x:f>IF(OR(B228="",$I$6&lt;&gt;"Complete"),"",I227+E228+G228-H228)</x:f>
        <x:v>102125</x:v>
      </x:c>
      <x:c r="J228" s="37" t="n">
        <x:f>IF(OR(B228="",$I$6&lt;&gt;"Complete"),"",'Inputs'!$C$49)</x:f>
        <x:v>25000</x:v>
      </x:c>
      <x:c r="K228" s="37" t="n">
        <x:f>IF(OR(B228="",$I$6&lt;&gt;"Complete"),"",I228-J228)</x:f>
        <x:v>77125</x:v>
      </x:c>
      <x:c r="L228" s="61" t="n">
        <x:f>IF(OR(B228="",$I$6&lt;&gt;"Complete"),"",IF(K228&lt;0,1,0))</x:f>
        <x:v>0</x:v>
      </x:c>
    </x:row>
    <x:row r="229" ht="23" customHeight="1">
      <x:c r="A229" s="2"/>
      <x:c r="B229" s="60" t="n">
        <x:f>IF($D$6&lt;&gt;"Complete","",IF('Inputs'!$C$47+159&lt;=$D$9,'Inputs'!$C$47+159,""))</x:f>
        <x:v>46445</x:v>
      </x:c>
      <x:c r="C229" s="37" t="n">
        <x:f>IF(B229="","",SUMIFS($D$14:$D$23,$C$14:$C$23,B229))</x:f>
        <x:v>0</x:v>
      </x:c>
      <x:c r="D229" s="37" t="n">
        <x:f>IF(B229="","",SUMIFS($E$14:$E$23,$C$14:$C$23,B229))</x:f>
        <x:v>0</x:v>
      </x:c>
      <x:c r="E229" s="37" t="n">
        <x:f>IF(B229="","",C229-D229)</x:f>
        <x:v>0</x:v>
      </x:c>
      <x:c r="F229" s="37" t="n">
        <x:f>IF(B229="","",F228+E229)</x:f>
        <x:v>22125</x:v>
      </x:c>
      <x:c r="G229" s="37" t="n">
        <x:f>IF(OR(B229="",$I$6&lt;&gt;"Complete"),"",SUMIFS($D$32:$D$51,$C$32:$C$51,B229,$I$32:$I$51,"Ready"))</x:f>
        <x:v>0</x:v>
      </x:c>
      <x:c r="H229" s="37" t="n">
        <x:f>IF(OR(B229="",$I$6&lt;&gt;"Complete"),"",SUMIFS($E$32:$E$51,$C$32:$C$51,B229,$I$32:$I$51,"Ready"))</x:f>
        <x:v>0</x:v>
      </x:c>
      <x:c r="I229" s="37" t="n">
        <x:f>IF(OR(B229="",$I$6&lt;&gt;"Complete"),"",I228+E229+G229-H229)</x:f>
        <x:v>102125</x:v>
      </x:c>
      <x:c r="J229" s="37" t="n">
        <x:f>IF(OR(B229="",$I$6&lt;&gt;"Complete"),"",'Inputs'!$C$49)</x:f>
        <x:v>25000</x:v>
      </x:c>
      <x:c r="K229" s="37" t="n">
        <x:f>IF(OR(B229="",$I$6&lt;&gt;"Complete"),"",I229-J229)</x:f>
        <x:v>77125</x:v>
      </x:c>
      <x:c r="L229" s="61" t="n">
        <x:f>IF(OR(B229="",$I$6&lt;&gt;"Complete"),"",IF(K229&lt;0,1,0))</x:f>
        <x:v>0</x:v>
      </x:c>
    </x:row>
    <x:row r="230" ht="23" customHeight="1">
      <x:c r="A230" s="2"/>
      <x:c r="B230" s="60" t="n">
        <x:f>IF($D$6&lt;&gt;"Complete","",IF('Inputs'!$C$47+160&lt;=$D$9,'Inputs'!$C$47+160,""))</x:f>
        <x:v>46446</x:v>
      </x:c>
      <x:c r="C230" s="37" t="n">
        <x:f>IF(B230="","",SUMIFS($D$14:$D$23,$C$14:$C$23,B230))</x:f>
        <x:v>0</x:v>
      </x:c>
      <x:c r="D230" s="37" t="n">
        <x:f>IF(B230="","",SUMIFS($E$14:$E$23,$C$14:$C$23,B230))</x:f>
        <x:v>0</x:v>
      </x:c>
      <x:c r="E230" s="37" t="n">
        <x:f>IF(B230="","",C230-D230)</x:f>
        <x:v>0</x:v>
      </x:c>
      <x:c r="F230" s="37" t="n">
        <x:f>IF(B230="","",F229+E230)</x:f>
        <x:v>22125</x:v>
      </x:c>
      <x:c r="G230" s="37" t="n">
        <x:f>IF(OR(B230="",$I$6&lt;&gt;"Complete"),"",SUMIFS($D$32:$D$51,$C$32:$C$51,B230,$I$32:$I$51,"Ready"))</x:f>
        <x:v>0</x:v>
      </x:c>
      <x:c r="H230" s="37" t="n">
        <x:f>IF(OR(B230="",$I$6&lt;&gt;"Complete"),"",SUMIFS($E$32:$E$51,$C$32:$C$51,B230,$I$32:$I$51,"Ready"))</x:f>
        <x:v>0</x:v>
      </x:c>
      <x:c r="I230" s="37" t="n">
        <x:f>IF(OR(B230="",$I$6&lt;&gt;"Complete"),"",I229+E230+G230-H230)</x:f>
        <x:v>102125</x:v>
      </x:c>
      <x:c r="J230" s="37" t="n">
        <x:f>IF(OR(B230="",$I$6&lt;&gt;"Complete"),"",'Inputs'!$C$49)</x:f>
        <x:v>25000</x:v>
      </x:c>
      <x:c r="K230" s="37" t="n">
        <x:f>IF(OR(B230="",$I$6&lt;&gt;"Complete"),"",I230-J230)</x:f>
        <x:v>77125</x:v>
      </x:c>
      <x:c r="L230" s="61" t="n">
        <x:f>IF(OR(B230="",$I$6&lt;&gt;"Complete"),"",IF(K230&lt;0,1,0))</x:f>
        <x:v>0</x:v>
      </x:c>
    </x:row>
    <x:row r="231" ht="23" customHeight="1">
      <x:c r="A231" s="2"/>
      <x:c r="B231" s="60" t="n">
        <x:f>IF($D$6&lt;&gt;"Complete","",IF('Inputs'!$C$47+161&lt;=$D$9,'Inputs'!$C$47+161,""))</x:f>
        <x:v>46447</x:v>
      </x:c>
      <x:c r="C231" s="37" t="n">
        <x:f>IF(B231="","",SUMIFS($D$14:$D$23,$C$14:$C$23,B231))</x:f>
        <x:v>0</x:v>
      </x:c>
      <x:c r="D231" s="37" t="n">
        <x:f>IF(B231="","",SUMIFS($E$14:$E$23,$C$14:$C$23,B231))</x:f>
        <x:v>0</x:v>
      </x:c>
      <x:c r="E231" s="37" t="n">
        <x:f>IF(B231="","",C231-D231)</x:f>
        <x:v>0</x:v>
      </x:c>
      <x:c r="F231" s="37" t="n">
        <x:f>IF(B231="","",F230+E231)</x:f>
        <x:v>22125</x:v>
      </x:c>
      <x:c r="G231" s="37" t="n">
        <x:f>IF(OR(B231="",$I$6&lt;&gt;"Complete"),"",SUMIFS($D$32:$D$51,$C$32:$C$51,B231,$I$32:$I$51,"Ready"))</x:f>
        <x:v>0</x:v>
      </x:c>
      <x:c r="H231" s="37" t="n">
        <x:f>IF(OR(B231="",$I$6&lt;&gt;"Complete"),"",SUMIFS($E$32:$E$51,$C$32:$C$51,B231,$I$32:$I$51,"Ready"))</x:f>
        <x:v>0</x:v>
      </x:c>
      <x:c r="I231" s="37" t="n">
        <x:f>IF(OR(B231="",$I$6&lt;&gt;"Complete"),"",I230+E231+G231-H231)</x:f>
        <x:v>102125</x:v>
      </x:c>
      <x:c r="J231" s="37" t="n">
        <x:f>IF(OR(B231="",$I$6&lt;&gt;"Complete"),"",'Inputs'!$C$49)</x:f>
        <x:v>25000</x:v>
      </x:c>
      <x:c r="K231" s="37" t="n">
        <x:f>IF(OR(B231="",$I$6&lt;&gt;"Complete"),"",I231-J231)</x:f>
        <x:v>77125</x:v>
      </x:c>
      <x:c r="L231" s="61" t="n">
        <x:f>IF(OR(B231="",$I$6&lt;&gt;"Complete"),"",IF(K231&lt;0,1,0))</x:f>
        <x:v>0</x:v>
      </x:c>
    </x:row>
    <x:row r="232" ht="23" customHeight="1">
      <x:c r="A232" s="2"/>
      <x:c r="B232" s="60" t="n">
        <x:f>IF($D$6&lt;&gt;"Complete","",IF('Inputs'!$C$47+162&lt;=$D$9,'Inputs'!$C$47+162,""))</x:f>
        <x:v>46448</x:v>
      </x:c>
      <x:c r="C232" s="37" t="n">
        <x:f>IF(B232="","",SUMIFS($D$14:$D$23,$C$14:$C$23,B232))</x:f>
        <x:v>0</x:v>
      </x:c>
      <x:c r="D232" s="37" t="n">
        <x:f>IF(B232="","",SUMIFS($E$14:$E$23,$C$14:$C$23,B232))</x:f>
        <x:v>0</x:v>
      </x:c>
      <x:c r="E232" s="37" t="n">
        <x:f>IF(B232="","",C232-D232)</x:f>
        <x:v>0</x:v>
      </x:c>
      <x:c r="F232" s="37" t="n">
        <x:f>IF(B232="","",F231+E232)</x:f>
        <x:v>22125</x:v>
      </x:c>
      <x:c r="G232" s="37" t="n">
        <x:f>IF(OR(B232="",$I$6&lt;&gt;"Complete"),"",SUMIFS($D$32:$D$51,$C$32:$C$51,B232,$I$32:$I$51,"Ready"))</x:f>
        <x:v>0</x:v>
      </x:c>
      <x:c r="H232" s="37" t="n">
        <x:f>IF(OR(B232="",$I$6&lt;&gt;"Complete"),"",SUMIFS($E$32:$E$51,$C$32:$C$51,B232,$I$32:$I$51,"Ready"))</x:f>
        <x:v>0</x:v>
      </x:c>
      <x:c r="I232" s="37" t="n">
        <x:f>IF(OR(B232="",$I$6&lt;&gt;"Complete"),"",I231+E232+G232-H232)</x:f>
        <x:v>102125</x:v>
      </x:c>
      <x:c r="J232" s="37" t="n">
        <x:f>IF(OR(B232="",$I$6&lt;&gt;"Complete"),"",'Inputs'!$C$49)</x:f>
        <x:v>25000</x:v>
      </x:c>
      <x:c r="K232" s="37" t="n">
        <x:f>IF(OR(B232="",$I$6&lt;&gt;"Complete"),"",I232-J232)</x:f>
        <x:v>77125</x:v>
      </x:c>
      <x:c r="L232" s="61" t="n">
        <x:f>IF(OR(B232="",$I$6&lt;&gt;"Complete"),"",IF(K232&lt;0,1,0))</x:f>
        <x:v>0</x:v>
      </x:c>
    </x:row>
    <x:row r="233" ht="23" customHeight="1">
      <x:c r="A233" s="2"/>
      <x:c r="B233" s="60" t="n">
        <x:f>IF($D$6&lt;&gt;"Complete","",IF('Inputs'!$C$47+163&lt;=$D$9,'Inputs'!$C$47+163,""))</x:f>
        <x:v>46449</x:v>
      </x:c>
      <x:c r="C233" s="37" t="n">
        <x:f>IF(B233="","",SUMIFS($D$14:$D$23,$C$14:$C$23,B233))</x:f>
        <x:v>0</x:v>
      </x:c>
      <x:c r="D233" s="37" t="n">
        <x:f>IF(B233="","",SUMIFS($E$14:$E$23,$C$14:$C$23,B233))</x:f>
        <x:v>0</x:v>
      </x:c>
      <x:c r="E233" s="37" t="n">
        <x:f>IF(B233="","",C233-D233)</x:f>
        <x:v>0</x:v>
      </x:c>
      <x:c r="F233" s="37" t="n">
        <x:f>IF(B233="","",F232+E233)</x:f>
        <x:v>22125</x:v>
      </x:c>
      <x:c r="G233" s="37" t="n">
        <x:f>IF(OR(B233="",$I$6&lt;&gt;"Complete"),"",SUMIFS($D$32:$D$51,$C$32:$C$51,B233,$I$32:$I$51,"Ready"))</x:f>
        <x:v>0</x:v>
      </x:c>
      <x:c r="H233" s="37" t="n">
        <x:f>IF(OR(B233="",$I$6&lt;&gt;"Complete"),"",SUMIFS($E$32:$E$51,$C$32:$C$51,B233,$I$32:$I$51,"Ready"))</x:f>
        <x:v>0</x:v>
      </x:c>
      <x:c r="I233" s="37" t="n">
        <x:f>IF(OR(B233="",$I$6&lt;&gt;"Complete"),"",I232+E233+G233-H233)</x:f>
        <x:v>102125</x:v>
      </x:c>
      <x:c r="J233" s="37" t="n">
        <x:f>IF(OR(B233="",$I$6&lt;&gt;"Complete"),"",'Inputs'!$C$49)</x:f>
        <x:v>25000</x:v>
      </x:c>
      <x:c r="K233" s="37" t="n">
        <x:f>IF(OR(B233="",$I$6&lt;&gt;"Complete"),"",I233-J233)</x:f>
        <x:v>77125</x:v>
      </x:c>
      <x:c r="L233" s="61" t="n">
        <x:f>IF(OR(B233="",$I$6&lt;&gt;"Complete"),"",IF(K233&lt;0,1,0))</x:f>
        <x:v>0</x:v>
      </x:c>
    </x:row>
    <x:row r="234" ht="23" customHeight="1">
      <x:c r="A234" s="2"/>
      <x:c r="B234" s="60" t="n">
        <x:f>IF($D$6&lt;&gt;"Complete","",IF('Inputs'!$C$47+164&lt;=$D$9,'Inputs'!$C$47+164,""))</x:f>
        <x:v>46450</x:v>
      </x:c>
      <x:c r="C234" s="37" t="n">
        <x:f>IF(B234="","",SUMIFS($D$14:$D$23,$C$14:$C$23,B234))</x:f>
        <x:v>0</x:v>
      </x:c>
      <x:c r="D234" s="37" t="n">
        <x:f>IF(B234="","",SUMIFS($E$14:$E$23,$C$14:$C$23,B234))</x:f>
        <x:v>0</x:v>
      </x:c>
      <x:c r="E234" s="37" t="n">
        <x:f>IF(B234="","",C234-D234)</x:f>
        <x:v>0</x:v>
      </x:c>
      <x:c r="F234" s="37" t="n">
        <x:f>IF(B234="","",F233+E234)</x:f>
        <x:v>22125</x:v>
      </x:c>
      <x:c r="G234" s="37" t="n">
        <x:f>IF(OR(B234="",$I$6&lt;&gt;"Complete"),"",SUMIFS($D$32:$D$51,$C$32:$C$51,B234,$I$32:$I$51,"Ready"))</x:f>
        <x:v>0</x:v>
      </x:c>
      <x:c r="H234" s="37" t="n">
        <x:f>IF(OR(B234="",$I$6&lt;&gt;"Complete"),"",SUMIFS($E$32:$E$51,$C$32:$C$51,B234,$I$32:$I$51,"Ready"))</x:f>
        <x:v>0</x:v>
      </x:c>
      <x:c r="I234" s="37" t="n">
        <x:f>IF(OR(B234="",$I$6&lt;&gt;"Complete"),"",I233+E234+G234-H234)</x:f>
        <x:v>102125</x:v>
      </x:c>
      <x:c r="J234" s="37" t="n">
        <x:f>IF(OR(B234="",$I$6&lt;&gt;"Complete"),"",'Inputs'!$C$49)</x:f>
        <x:v>25000</x:v>
      </x:c>
      <x:c r="K234" s="37" t="n">
        <x:f>IF(OR(B234="",$I$6&lt;&gt;"Complete"),"",I234-J234)</x:f>
        <x:v>77125</x:v>
      </x:c>
      <x:c r="L234" s="61" t="n">
        <x:f>IF(OR(B234="",$I$6&lt;&gt;"Complete"),"",IF(K234&lt;0,1,0))</x:f>
        <x:v>0</x:v>
      </x:c>
    </x:row>
    <x:row r="235" ht="23" customHeight="1">
      <x:c r="A235" s="2"/>
      <x:c r="B235" s="60" t="n">
        <x:f>IF($D$6&lt;&gt;"Complete","",IF('Inputs'!$C$47+165&lt;=$D$9,'Inputs'!$C$47+165,""))</x:f>
        <x:v>46451</x:v>
      </x:c>
      <x:c r="C235" s="37" t="n">
        <x:f>IF(B235="","",SUMIFS($D$14:$D$23,$C$14:$C$23,B235))</x:f>
        <x:v>0</x:v>
      </x:c>
      <x:c r="D235" s="37" t="n">
        <x:f>IF(B235="","",SUMIFS($E$14:$E$23,$C$14:$C$23,B235))</x:f>
        <x:v>0</x:v>
      </x:c>
      <x:c r="E235" s="37" t="n">
        <x:f>IF(B235="","",C235-D235)</x:f>
        <x:v>0</x:v>
      </x:c>
      <x:c r="F235" s="37" t="n">
        <x:f>IF(B235="","",F234+E235)</x:f>
        <x:v>22125</x:v>
      </x:c>
      <x:c r="G235" s="37" t="n">
        <x:f>IF(OR(B235="",$I$6&lt;&gt;"Complete"),"",SUMIFS($D$32:$D$51,$C$32:$C$51,B235,$I$32:$I$51,"Ready"))</x:f>
        <x:v>0</x:v>
      </x:c>
      <x:c r="H235" s="37" t="n">
        <x:f>IF(OR(B235="",$I$6&lt;&gt;"Complete"),"",SUMIFS($E$32:$E$51,$C$32:$C$51,B235,$I$32:$I$51,"Ready"))</x:f>
        <x:v>0</x:v>
      </x:c>
      <x:c r="I235" s="37" t="n">
        <x:f>IF(OR(B235="",$I$6&lt;&gt;"Complete"),"",I234+E235+G235-H235)</x:f>
        <x:v>102125</x:v>
      </x:c>
      <x:c r="J235" s="37" t="n">
        <x:f>IF(OR(B235="",$I$6&lt;&gt;"Complete"),"",'Inputs'!$C$49)</x:f>
        <x:v>25000</x:v>
      </x:c>
      <x:c r="K235" s="37" t="n">
        <x:f>IF(OR(B235="",$I$6&lt;&gt;"Complete"),"",I235-J235)</x:f>
        <x:v>77125</x:v>
      </x:c>
      <x:c r="L235" s="61" t="n">
        <x:f>IF(OR(B235="",$I$6&lt;&gt;"Complete"),"",IF(K235&lt;0,1,0))</x:f>
        <x:v>0</x:v>
      </x:c>
    </x:row>
    <x:row r="236" ht="23" customHeight="1">
      <x:c r="A236" s="2"/>
      <x:c r="B236" s="60" t="n">
        <x:f>IF($D$6&lt;&gt;"Complete","",IF('Inputs'!$C$47+166&lt;=$D$9,'Inputs'!$C$47+166,""))</x:f>
        <x:v>46452</x:v>
      </x:c>
      <x:c r="C236" s="37" t="n">
        <x:f>IF(B236="","",SUMIFS($D$14:$D$23,$C$14:$C$23,B236))</x:f>
        <x:v>0</x:v>
      </x:c>
      <x:c r="D236" s="37" t="n">
        <x:f>IF(B236="","",SUMIFS($E$14:$E$23,$C$14:$C$23,B236))</x:f>
        <x:v>0</x:v>
      </x:c>
      <x:c r="E236" s="37" t="n">
        <x:f>IF(B236="","",C236-D236)</x:f>
        <x:v>0</x:v>
      </x:c>
      <x:c r="F236" s="37" t="n">
        <x:f>IF(B236="","",F235+E236)</x:f>
        <x:v>22125</x:v>
      </x:c>
      <x:c r="G236" s="37" t="n">
        <x:f>IF(OR(B236="",$I$6&lt;&gt;"Complete"),"",SUMIFS($D$32:$D$51,$C$32:$C$51,B236,$I$32:$I$51,"Ready"))</x:f>
        <x:v>0</x:v>
      </x:c>
      <x:c r="H236" s="37" t="n">
        <x:f>IF(OR(B236="",$I$6&lt;&gt;"Complete"),"",SUMIFS($E$32:$E$51,$C$32:$C$51,B236,$I$32:$I$51,"Ready"))</x:f>
        <x:v>0</x:v>
      </x:c>
      <x:c r="I236" s="37" t="n">
        <x:f>IF(OR(B236="",$I$6&lt;&gt;"Complete"),"",I235+E236+G236-H236)</x:f>
        <x:v>102125</x:v>
      </x:c>
      <x:c r="J236" s="37" t="n">
        <x:f>IF(OR(B236="",$I$6&lt;&gt;"Complete"),"",'Inputs'!$C$49)</x:f>
        <x:v>25000</x:v>
      </x:c>
      <x:c r="K236" s="37" t="n">
        <x:f>IF(OR(B236="",$I$6&lt;&gt;"Complete"),"",I236-J236)</x:f>
        <x:v>77125</x:v>
      </x:c>
      <x:c r="L236" s="61" t="n">
        <x:f>IF(OR(B236="",$I$6&lt;&gt;"Complete"),"",IF(K236&lt;0,1,0))</x:f>
        <x:v>0</x:v>
      </x:c>
    </x:row>
    <x:row r="237" ht="23" customHeight="1">
      <x:c r="A237" s="2"/>
      <x:c r="B237" s="60" t="n">
        <x:f>IF($D$6&lt;&gt;"Complete","",IF('Inputs'!$C$47+167&lt;=$D$9,'Inputs'!$C$47+167,""))</x:f>
        <x:v>46453</x:v>
      </x:c>
      <x:c r="C237" s="37" t="n">
        <x:f>IF(B237="","",SUMIFS($D$14:$D$23,$C$14:$C$23,B237))</x:f>
        <x:v>0</x:v>
      </x:c>
      <x:c r="D237" s="37" t="n">
        <x:f>IF(B237="","",SUMIFS($E$14:$E$23,$C$14:$C$23,B237))</x:f>
        <x:v>0</x:v>
      </x:c>
      <x:c r="E237" s="37" t="n">
        <x:f>IF(B237="","",C237-D237)</x:f>
        <x:v>0</x:v>
      </x:c>
      <x:c r="F237" s="37" t="n">
        <x:f>IF(B237="","",F236+E237)</x:f>
        <x:v>22125</x:v>
      </x:c>
      <x:c r="G237" s="37" t="n">
        <x:f>IF(OR(B237="",$I$6&lt;&gt;"Complete"),"",SUMIFS($D$32:$D$51,$C$32:$C$51,B237,$I$32:$I$51,"Ready"))</x:f>
        <x:v>0</x:v>
      </x:c>
      <x:c r="H237" s="37" t="n">
        <x:f>IF(OR(B237="",$I$6&lt;&gt;"Complete"),"",SUMIFS($E$32:$E$51,$C$32:$C$51,B237,$I$32:$I$51,"Ready"))</x:f>
        <x:v>0</x:v>
      </x:c>
      <x:c r="I237" s="37" t="n">
        <x:f>IF(OR(B237="",$I$6&lt;&gt;"Complete"),"",I236+E237+G237-H237)</x:f>
        <x:v>102125</x:v>
      </x:c>
      <x:c r="J237" s="37" t="n">
        <x:f>IF(OR(B237="",$I$6&lt;&gt;"Complete"),"",'Inputs'!$C$49)</x:f>
        <x:v>25000</x:v>
      </x:c>
      <x:c r="K237" s="37" t="n">
        <x:f>IF(OR(B237="",$I$6&lt;&gt;"Complete"),"",I237-J237)</x:f>
        <x:v>77125</x:v>
      </x:c>
      <x:c r="L237" s="61" t="n">
        <x:f>IF(OR(B237="",$I$6&lt;&gt;"Complete"),"",IF(K237&lt;0,1,0))</x:f>
        <x:v>0</x:v>
      </x:c>
    </x:row>
    <x:row r="238" ht="23" customHeight="1">
      <x:c r="A238" s="2"/>
      <x:c r="B238" s="60" t="n">
        <x:f>IF($D$6&lt;&gt;"Complete","",IF('Inputs'!$C$47+168&lt;=$D$9,'Inputs'!$C$47+168,""))</x:f>
        <x:v>46454</x:v>
      </x:c>
      <x:c r="C238" s="37" t="n">
        <x:f>IF(B238="","",SUMIFS($D$14:$D$23,$C$14:$C$23,B238))</x:f>
        <x:v>0</x:v>
      </x:c>
      <x:c r="D238" s="37" t="n">
        <x:f>IF(B238="","",SUMIFS($E$14:$E$23,$C$14:$C$23,B238))</x:f>
        <x:v>0</x:v>
      </x:c>
      <x:c r="E238" s="37" t="n">
        <x:f>IF(B238="","",C238-D238)</x:f>
        <x:v>0</x:v>
      </x:c>
      <x:c r="F238" s="37" t="n">
        <x:f>IF(B238="","",F237+E238)</x:f>
        <x:v>22125</x:v>
      </x:c>
      <x:c r="G238" s="37" t="n">
        <x:f>IF(OR(B238="",$I$6&lt;&gt;"Complete"),"",SUMIFS($D$32:$D$51,$C$32:$C$51,B238,$I$32:$I$51,"Ready"))</x:f>
        <x:v>0</x:v>
      </x:c>
      <x:c r="H238" s="37" t="n">
        <x:f>IF(OR(B238="",$I$6&lt;&gt;"Complete"),"",SUMIFS($E$32:$E$51,$C$32:$C$51,B238,$I$32:$I$51,"Ready"))</x:f>
        <x:v>0</x:v>
      </x:c>
      <x:c r="I238" s="37" t="n">
        <x:f>IF(OR(B238="",$I$6&lt;&gt;"Complete"),"",I237+E238+G238-H238)</x:f>
        <x:v>102125</x:v>
      </x:c>
      <x:c r="J238" s="37" t="n">
        <x:f>IF(OR(B238="",$I$6&lt;&gt;"Complete"),"",'Inputs'!$C$49)</x:f>
        <x:v>25000</x:v>
      </x:c>
      <x:c r="K238" s="37" t="n">
        <x:f>IF(OR(B238="",$I$6&lt;&gt;"Complete"),"",I238-J238)</x:f>
        <x:v>77125</x:v>
      </x:c>
      <x:c r="L238" s="61" t="n">
        <x:f>IF(OR(B238="",$I$6&lt;&gt;"Complete"),"",IF(K238&lt;0,1,0))</x:f>
        <x:v>0</x:v>
      </x:c>
    </x:row>
    <x:row r="239" ht="23" customHeight="1">
      <x:c r="A239" s="2"/>
      <x:c r="B239" s="60" t="n">
        <x:f>IF($D$6&lt;&gt;"Complete","",IF('Inputs'!$C$47+169&lt;=$D$9,'Inputs'!$C$47+169,""))</x:f>
        <x:v>46455</x:v>
      </x:c>
      <x:c r="C239" s="37" t="n">
        <x:f>IF(B239="","",SUMIFS($D$14:$D$23,$C$14:$C$23,B239))</x:f>
        <x:v>0</x:v>
      </x:c>
      <x:c r="D239" s="37" t="n">
        <x:f>IF(B239="","",SUMIFS($E$14:$E$23,$C$14:$C$23,B239))</x:f>
        <x:v>0</x:v>
      </x:c>
      <x:c r="E239" s="37" t="n">
        <x:f>IF(B239="","",C239-D239)</x:f>
        <x:v>0</x:v>
      </x:c>
      <x:c r="F239" s="37" t="n">
        <x:f>IF(B239="","",F238+E239)</x:f>
        <x:v>22125</x:v>
      </x:c>
      <x:c r="G239" s="37" t="n">
        <x:f>IF(OR(B239="",$I$6&lt;&gt;"Complete"),"",SUMIFS($D$32:$D$51,$C$32:$C$51,B239,$I$32:$I$51,"Ready"))</x:f>
        <x:v>0</x:v>
      </x:c>
      <x:c r="H239" s="37" t="n">
        <x:f>IF(OR(B239="",$I$6&lt;&gt;"Complete"),"",SUMIFS($E$32:$E$51,$C$32:$C$51,B239,$I$32:$I$51,"Ready"))</x:f>
        <x:v>0</x:v>
      </x:c>
      <x:c r="I239" s="37" t="n">
        <x:f>IF(OR(B239="",$I$6&lt;&gt;"Complete"),"",I238+E239+G239-H239)</x:f>
        <x:v>102125</x:v>
      </x:c>
      <x:c r="J239" s="37" t="n">
        <x:f>IF(OR(B239="",$I$6&lt;&gt;"Complete"),"",'Inputs'!$C$49)</x:f>
        <x:v>25000</x:v>
      </x:c>
      <x:c r="K239" s="37" t="n">
        <x:f>IF(OR(B239="",$I$6&lt;&gt;"Complete"),"",I239-J239)</x:f>
        <x:v>77125</x:v>
      </x:c>
      <x:c r="L239" s="61" t="n">
        <x:f>IF(OR(B239="",$I$6&lt;&gt;"Complete"),"",IF(K239&lt;0,1,0))</x:f>
        <x:v>0</x:v>
      </x:c>
    </x:row>
    <x:row r="240" ht="23" customHeight="1">
      <x:c r="A240" s="2"/>
      <x:c r="B240" s="60" t="n">
        <x:f>IF($D$6&lt;&gt;"Complete","",IF('Inputs'!$C$47+170&lt;=$D$9,'Inputs'!$C$47+170,""))</x:f>
        <x:v>46456</x:v>
      </x:c>
      <x:c r="C240" s="37" t="n">
        <x:f>IF(B240="","",SUMIFS($D$14:$D$23,$C$14:$C$23,B240))</x:f>
        <x:v>0</x:v>
      </x:c>
      <x:c r="D240" s="37" t="n">
        <x:f>IF(B240="","",SUMIFS($E$14:$E$23,$C$14:$C$23,B240))</x:f>
        <x:v>0</x:v>
      </x:c>
      <x:c r="E240" s="37" t="n">
        <x:f>IF(B240="","",C240-D240)</x:f>
        <x:v>0</x:v>
      </x:c>
      <x:c r="F240" s="37" t="n">
        <x:f>IF(B240="","",F239+E240)</x:f>
        <x:v>22125</x:v>
      </x:c>
      <x:c r="G240" s="37" t="n">
        <x:f>IF(OR(B240="",$I$6&lt;&gt;"Complete"),"",SUMIFS($D$32:$D$51,$C$32:$C$51,B240,$I$32:$I$51,"Ready"))</x:f>
        <x:v>0</x:v>
      </x:c>
      <x:c r="H240" s="37" t="n">
        <x:f>IF(OR(B240="",$I$6&lt;&gt;"Complete"),"",SUMIFS($E$32:$E$51,$C$32:$C$51,B240,$I$32:$I$51,"Ready"))</x:f>
        <x:v>0</x:v>
      </x:c>
      <x:c r="I240" s="37" t="n">
        <x:f>IF(OR(B240="",$I$6&lt;&gt;"Complete"),"",I239+E240+G240-H240)</x:f>
        <x:v>102125</x:v>
      </x:c>
      <x:c r="J240" s="37" t="n">
        <x:f>IF(OR(B240="",$I$6&lt;&gt;"Complete"),"",'Inputs'!$C$49)</x:f>
        <x:v>25000</x:v>
      </x:c>
      <x:c r="K240" s="37" t="n">
        <x:f>IF(OR(B240="",$I$6&lt;&gt;"Complete"),"",I240-J240)</x:f>
        <x:v>77125</x:v>
      </x:c>
      <x:c r="L240" s="61" t="n">
        <x:f>IF(OR(B240="",$I$6&lt;&gt;"Complete"),"",IF(K240&lt;0,1,0))</x:f>
        <x:v>0</x:v>
      </x:c>
    </x:row>
    <x:row r="241" ht="23" customHeight="1">
      <x:c r="A241" s="2"/>
      <x:c r="B241" s="60" t="n">
        <x:f>IF($D$6&lt;&gt;"Complete","",IF('Inputs'!$C$47+171&lt;=$D$9,'Inputs'!$C$47+171,""))</x:f>
        <x:v>46457</x:v>
      </x:c>
      <x:c r="C241" s="37" t="n">
        <x:f>IF(B241="","",SUMIFS($D$14:$D$23,$C$14:$C$23,B241))</x:f>
        <x:v>0</x:v>
      </x:c>
      <x:c r="D241" s="37" t="n">
        <x:f>IF(B241="","",SUMIFS($E$14:$E$23,$C$14:$C$23,B241))</x:f>
        <x:v>0</x:v>
      </x:c>
      <x:c r="E241" s="37" t="n">
        <x:f>IF(B241="","",C241-D241)</x:f>
        <x:v>0</x:v>
      </x:c>
      <x:c r="F241" s="37" t="n">
        <x:f>IF(B241="","",F240+E241)</x:f>
        <x:v>22125</x:v>
      </x:c>
      <x:c r="G241" s="37" t="n">
        <x:f>IF(OR(B241="",$I$6&lt;&gt;"Complete"),"",SUMIFS($D$32:$D$51,$C$32:$C$51,B241,$I$32:$I$51,"Ready"))</x:f>
        <x:v>0</x:v>
      </x:c>
      <x:c r="H241" s="37" t="n">
        <x:f>IF(OR(B241="",$I$6&lt;&gt;"Complete"),"",SUMIFS($E$32:$E$51,$C$32:$C$51,B241,$I$32:$I$51,"Ready"))</x:f>
        <x:v>0</x:v>
      </x:c>
      <x:c r="I241" s="37" t="n">
        <x:f>IF(OR(B241="",$I$6&lt;&gt;"Complete"),"",I240+E241+G241-H241)</x:f>
        <x:v>102125</x:v>
      </x:c>
      <x:c r="J241" s="37" t="n">
        <x:f>IF(OR(B241="",$I$6&lt;&gt;"Complete"),"",'Inputs'!$C$49)</x:f>
        <x:v>25000</x:v>
      </x:c>
      <x:c r="K241" s="37" t="n">
        <x:f>IF(OR(B241="",$I$6&lt;&gt;"Complete"),"",I241-J241)</x:f>
        <x:v>77125</x:v>
      </x:c>
      <x:c r="L241" s="61" t="n">
        <x:f>IF(OR(B241="",$I$6&lt;&gt;"Complete"),"",IF(K241&lt;0,1,0))</x:f>
        <x:v>0</x:v>
      </x:c>
    </x:row>
    <x:row r="242" ht="23" customHeight="1">
      <x:c r="A242" s="2"/>
      <x:c r="B242" s="60" t="n">
        <x:f>IF($D$6&lt;&gt;"Complete","",IF('Inputs'!$C$47+172&lt;=$D$9,'Inputs'!$C$47+172,""))</x:f>
        <x:v>46458</x:v>
      </x:c>
      <x:c r="C242" s="37" t="n">
        <x:f>IF(B242="","",SUMIFS($D$14:$D$23,$C$14:$C$23,B242))</x:f>
        <x:v>0</x:v>
      </x:c>
      <x:c r="D242" s="37" t="n">
        <x:f>IF(B242="","",SUMIFS($E$14:$E$23,$C$14:$C$23,B242))</x:f>
        <x:v>0</x:v>
      </x:c>
      <x:c r="E242" s="37" t="n">
        <x:f>IF(B242="","",C242-D242)</x:f>
        <x:v>0</x:v>
      </x:c>
      <x:c r="F242" s="37" t="n">
        <x:f>IF(B242="","",F241+E242)</x:f>
        <x:v>22125</x:v>
      </x:c>
      <x:c r="G242" s="37" t="n">
        <x:f>IF(OR(B242="",$I$6&lt;&gt;"Complete"),"",SUMIFS($D$32:$D$51,$C$32:$C$51,B242,$I$32:$I$51,"Ready"))</x:f>
        <x:v>0</x:v>
      </x:c>
      <x:c r="H242" s="37" t="n">
        <x:f>IF(OR(B242="",$I$6&lt;&gt;"Complete"),"",SUMIFS($E$32:$E$51,$C$32:$C$51,B242,$I$32:$I$51,"Ready"))</x:f>
        <x:v>0</x:v>
      </x:c>
      <x:c r="I242" s="37" t="n">
        <x:f>IF(OR(B242="",$I$6&lt;&gt;"Complete"),"",I241+E242+G242-H242)</x:f>
        <x:v>102125</x:v>
      </x:c>
      <x:c r="J242" s="37" t="n">
        <x:f>IF(OR(B242="",$I$6&lt;&gt;"Complete"),"",'Inputs'!$C$49)</x:f>
        <x:v>25000</x:v>
      </x:c>
      <x:c r="K242" s="37" t="n">
        <x:f>IF(OR(B242="",$I$6&lt;&gt;"Complete"),"",I242-J242)</x:f>
        <x:v>77125</x:v>
      </x:c>
      <x:c r="L242" s="61" t="n">
        <x:f>IF(OR(B242="",$I$6&lt;&gt;"Complete"),"",IF(K242&lt;0,1,0))</x:f>
        <x:v>0</x:v>
      </x:c>
    </x:row>
    <x:row r="243" ht="23" customHeight="1">
      <x:c r="A243" s="2"/>
      <x:c r="B243" s="60" t="n">
        <x:f>IF($D$6&lt;&gt;"Complete","",IF('Inputs'!$C$47+173&lt;=$D$9,'Inputs'!$C$47+173,""))</x:f>
        <x:v>46459</x:v>
      </x:c>
      <x:c r="C243" s="37" t="n">
        <x:f>IF(B243="","",SUMIFS($D$14:$D$23,$C$14:$C$23,B243))</x:f>
        <x:v>0</x:v>
      </x:c>
      <x:c r="D243" s="37" t="n">
        <x:f>IF(B243="","",SUMIFS($E$14:$E$23,$C$14:$C$23,B243))</x:f>
        <x:v>0</x:v>
      </x:c>
      <x:c r="E243" s="37" t="n">
        <x:f>IF(B243="","",C243-D243)</x:f>
        <x:v>0</x:v>
      </x:c>
      <x:c r="F243" s="37" t="n">
        <x:f>IF(B243="","",F242+E243)</x:f>
        <x:v>22125</x:v>
      </x:c>
      <x:c r="G243" s="37" t="n">
        <x:f>IF(OR(B243="",$I$6&lt;&gt;"Complete"),"",SUMIFS($D$32:$D$51,$C$32:$C$51,B243,$I$32:$I$51,"Ready"))</x:f>
        <x:v>0</x:v>
      </x:c>
      <x:c r="H243" s="37" t="n">
        <x:f>IF(OR(B243="",$I$6&lt;&gt;"Complete"),"",SUMIFS($E$32:$E$51,$C$32:$C$51,B243,$I$32:$I$51,"Ready"))</x:f>
        <x:v>0</x:v>
      </x:c>
      <x:c r="I243" s="37" t="n">
        <x:f>IF(OR(B243="",$I$6&lt;&gt;"Complete"),"",I242+E243+G243-H243)</x:f>
        <x:v>102125</x:v>
      </x:c>
      <x:c r="J243" s="37" t="n">
        <x:f>IF(OR(B243="",$I$6&lt;&gt;"Complete"),"",'Inputs'!$C$49)</x:f>
        <x:v>25000</x:v>
      </x:c>
      <x:c r="K243" s="37" t="n">
        <x:f>IF(OR(B243="",$I$6&lt;&gt;"Complete"),"",I243-J243)</x:f>
        <x:v>77125</x:v>
      </x:c>
      <x:c r="L243" s="61" t="n">
        <x:f>IF(OR(B243="",$I$6&lt;&gt;"Complete"),"",IF(K243&lt;0,1,0))</x:f>
        <x:v>0</x:v>
      </x:c>
    </x:row>
    <x:row r="244" ht="23" customHeight="1">
      <x:c r="A244" s="2"/>
      <x:c r="B244" s="60" t="n">
        <x:f>IF($D$6&lt;&gt;"Complete","",IF('Inputs'!$C$47+174&lt;=$D$9,'Inputs'!$C$47+174,""))</x:f>
        <x:v>46460</x:v>
      </x:c>
      <x:c r="C244" s="37" t="n">
        <x:f>IF(B244="","",SUMIFS($D$14:$D$23,$C$14:$C$23,B244))</x:f>
        <x:v>0</x:v>
      </x:c>
      <x:c r="D244" s="37" t="n">
        <x:f>IF(B244="","",SUMIFS($E$14:$E$23,$C$14:$C$23,B244))</x:f>
        <x:v>0</x:v>
      </x:c>
      <x:c r="E244" s="37" t="n">
        <x:f>IF(B244="","",C244-D244)</x:f>
        <x:v>0</x:v>
      </x:c>
      <x:c r="F244" s="37" t="n">
        <x:f>IF(B244="","",F243+E244)</x:f>
        <x:v>22125</x:v>
      </x:c>
      <x:c r="G244" s="37" t="n">
        <x:f>IF(OR(B244="",$I$6&lt;&gt;"Complete"),"",SUMIFS($D$32:$D$51,$C$32:$C$51,B244,$I$32:$I$51,"Ready"))</x:f>
        <x:v>0</x:v>
      </x:c>
      <x:c r="H244" s="37" t="n">
        <x:f>IF(OR(B244="",$I$6&lt;&gt;"Complete"),"",SUMIFS($E$32:$E$51,$C$32:$C$51,B244,$I$32:$I$51,"Ready"))</x:f>
        <x:v>0</x:v>
      </x:c>
      <x:c r="I244" s="37" t="n">
        <x:f>IF(OR(B244="",$I$6&lt;&gt;"Complete"),"",I243+E244+G244-H244)</x:f>
        <x:v>102125</x:v>
      </x:c>
      <x:c r="J244" s="37" t="n">
        <x:f>IF(OR(B244="",$I$6&lt;&gt;"Complete"),"",'Inputs'!$C$49)</x:f>
        <x:v>25000</x:v>
      </x:c>
      <x:c r="K244" s="37" t="n">
        <x:f>IF(OR(B244="",$I$6&lt;&gt;"Complete"),"",I244-J244)</x:f>
        <x:v>77125</x:v>
      </x:c>
      <x:c r="L244" s="61" t="n">
        <x:f>IF(OR(B244="",$I$6&lt;&gt;"Complete"),"",IF(K244&lt;0,1,0))</x:f>
        <x:v>0</x:v>
      </x:c>
    </x:row>
    <x:row r="245" ht="23" customHeight="1">
      <x:c r="A245" s="2"/>
      <x:c r="B245" s="60" t="n">
        <x:f>IF($D$6&lt;&gt;"Complete","",IF('Inputs'!$C$47+175&lt;=$D$9,'Inputs'!$C$47+175,""))</x:f>
        <x:v>46461</x:v>
      </x:c>
      <x:c r="C245" s="37" t="n">
        <x:f>IF(B245="","",SUMIFS($D$14:$D$23,$C$14:$C$23,B245))</x:f>
        <x:v>0</x:v>
      </x:c>
      <x:c r="D245" s="37" t="n">
        <x:f>IF(B245="","",SUMIFS($E$14:$E$23,$C$14:$C$23,B245))</x:f>
        <x:v>0</x:v>
      </x:c>
      <x:c r="E245" s="37" t="n">
        <x:f>IF(B245="","",C245-D245)</x:f>
        <x:v>0</x:v>
      </x:c>
      <x:c r="F245" s="37" t="n">
        <x:f>IF(B245="","",F244+E245)</x:f>
        <x:v>22125</x:v>
      </x:c>
      <x:c r="G245" s="37" t="n">
        <x:f>IF(OR(B245="",$I$6&lt;&gt;"Complete"),"",SUMIFS($D$32:$D$51,$C$32:$C$51,B245,$I$32:$I$51,"Ready"))</x:f>
        <x:v>0</x:v>
      </x:c>
      <x:c r="H245" s="37" t="n">
        <x:f>IF(OR(B245="",$I$6&lt;&gt;"Complete"),"",SUMIFS($E$32:$E$51,$C$32:$C$51,B245,$I$32:$I$51,"Ready"))</x:f>
        <x:v>0</x:v>
      </x:c>
      <x:c r="I245" s="37" t="n">
        <x:f>IF(OR(B245="",$I$6&lt;&gt;"Complete"),"",I244+E245+G245-H245)</x:f>
        <x:v>102125</x:v>
      </x:c>
      <x:c r="J245" s="37" t="n">
        <x:f>IF(OR(B245="",$I$6&lt;&gt;"Complete"),"",'Inputs'!$C$49)</x:f>
        <x:v>25000</x:v>
      </x:c>
      <x:c r="K245" s="37" t="n">
        <x:f>IF(OR(B245="",$I$6&lt;&gt;"Complete"),"",I245-J245)</x:f>
        <x:v>77125</x:v>
      </x:c>
      <x:c r="L245" s="61" t="n">
        <x:f>IF(OR(B245="",$I$6&lt;&gt;"Complete"),"",IF(K245&lt;0,1,0))</x:f>
        <x:v>0</x:v>
      </x:c>
    </x:row>
    <x:row r="246" ht="23" customHeight="1">
      <x:c r="A246" s="2"/>
      <x:c r="B246" s="60" t="n">
        <x:f>IF($D$6&lt;&gt;"Complete","",IF('Inputs'!$C$47+176&lt;=$D$9,'Inputs'!$C$47+176,""))</x:f>
        <x:v>46462</x:v>
      </x:c>
      <x:c r="C246" s="37" t="n">
        <x:f>IF(B246="","",SUMIFS($D$14:$D$23,$C$14:$C$23,B246))</x:f>
        <x:v>0</x:v>
      </x:c>
      <x:c r="D246" s="37" t="n">
        <x:f>IF(B246="","",SUMIFS($E$14:$E$23,$C$14:$C$23,B246))</x:f>
        <x:v>0</x:v>
      </x:c>
      <x:c r="E246" s="37" t="n">
        <x:f>IF(B246="","",C246-D246)</x:f>
        <x:v>0</x:v>
      </x:c>
      <x:c r="F246" s="37" t="n">
        <x:f>IF(B246="","",F245+E246)</x:f>
        <x:v>22125</x:v>
      </x:c>
      <x:c r="G246" s="37" t="n">
        <x:f>IF(OR(B246="",$I$6&lt;&gt;"Complete"),"",SUMIFS($D$32:$D$51,$C$32:$C$51,B246,$I$32:$I$51,"Ready"))</x:f>
        <x:v>0</x:v>
      </x:c>
      <x:c r="H246" s="37" t="n">
        <x:f>IF(OR(B246="",$I$6&lt;&gt;"Complete"),"",SUMIFS($E$32:$E$51,$C$32:$C$51,B246,$I$32:$I$51,"Ready"))</x:f>
        <x:v>0</x:v>
      </x:c>
      <x:c r="I246" s="37" t="n">
        <x:f>IF(OR(B246="",$I$6&lt;&gt;"Complete"),"",I245+E246+G246-H246)</x:f>
        <x:v>102125</x:v>
      </x:c>
      <x:c r="J246" s="37" t="n">
        <x:f>IF(OR(B246="",$I$6&lt;&gt;"Complete"),"",'Inputs'!$C$49)</x:f>
        <x:v>25000</x:v>
      </x:c>
      <x:c r="K246" s="37" t="n">
        <x:f>IF(OR(B246="",$I$6&lt;&gt;"Complete"),"",I246-J246)</x:f>
        <x:v>77125</x:v>
      </x:c>
      <x:c r="L246" s="61" t="n">
        <x:f>IF(OR(B246="",$I$6&lt;&gt;"Complete"),"",IF(K246&lt;0,1,0))</x:f>
        <x:v>0</x:v>
      </x:c>
    </x:row>
    <x:row r="247" ht="23" customHeight="1">
      <x:c r="A247" s="2"/>
      <x:c r="B247" s="60" t="n">
        <x:f>IF($D$6&lt;&gt;"Complete","",IF('Inputs'!$C$47+177&lt;=$D$9,'Inputs'!$C$47+177,""))</x:f>
        <x:v>46463</x:v>
      </x:c>
      <x:c r="C247" s="37" t="n">
        <x:f>IF(B247="","",SUMIFS($D$14:$D$23,$C$14:$C$23,B247))</x:f>
        <x:v>0</x:v>
      </x:c>
      <x:c r="D247" s="37" t="n">
        <x:f>IF(B247="","",SUMIFS($E$14:$E$23,$C$14:$C$23,B247))</x:f>
        <x:v>0</x:v>
      </x:c>
      <x:c r="E247" s="37" t="n">
        <x:f>IF(B247="","",C247-D247)</x:f>
        <x:v>0</x:v>
      </x:c>
      <x:c r="F247" s="37" t="n">
        <x:f>IF(B247="","",F246+E247)</x:f>
        <x:v>22125</x:v>
      </x:c>
      <x:c r="G247" s="37" t="n">
        <x:f>IF(OR(B247="",$I$6&lt;&gt;"Complete"),"",SUMIFS($D$32:$D$51,$C$32:$C$51,B247,$I$32:$I$51,"Ready"))</x:f>
        <x:v>0</x:v>
      </x:c>
      <x:c r="H247" s="37" t="n">
        <x:f>IF(OR(B247="",$I$6&lt;&gt;"Complete"),"",SUMIFS($E$32:$E$51,$C$32:$C$51,B247,$I$32:$I$51,"Ready"))</x:f>
        <x:v>0</x:v>
      </x:c>
      <x:c r="I247" s="37" t="n">
        <x:f>IF(OR(B247="",$I$6&lt;&gt;"Complete"),"",I246+E247+G247-H247)</x:f>
        <x:v>102125</x:v>
      </x:c>
      <x:c r="J247" s="37" t="n">
        <x:f>IF(OR(B247="",$I$6&lt;&gt;"Complete"),"",'Inputs'!$C$49)</x:f>
        <x:v>25000</x:v>
      </x:c>
      <x:c r="K247" s="37" t="n">
        <x:f>IF(OR(B247="",$I$6&lt;&gt;"Complete"),"",I247-J247)</x:f>
        <x:v>77125</x:v>
      </x:c>
      <x:c r="L247" s="61" t="n">
        <x:f>IF(OR(B247="",$I$6&lt;&gt;"Complete"),"",IF(K247&lt;0,1,0))</x:f>
        <x:v>0</x:v>
      </x:c>
    </x:row>
    <x:row r="248" ht="23" customHeight="1">
      <x:c r="A248" s="2"/>
      <x:c r="B248" s="60" t="n">
        <x:f>IF($D$6&lt;&gt;"Complete","",IF('Inputs'!$C$47+178&lt;=$D$9,'Inputs'!$C$47+178,""))</x:f>
        <x:v>46464</x:v>
      </x:c>
      <x:c r="C248" s="37" t="n">
        <x:f>IF(B248="","",SUMIFS($D$14:$D$23,$C$14:$C$23,B248))</x:f>
        <x:v>0</x:v>
      </x:c>
      <x:c r="D248" s="37" t="n">
        <x:f>IF(B248="","",SUMIFS($E$14:$E$23,$C$14:$C$23,B248))</x:f>
        <x:v>0</x:v>
      </x:c>
      <x:c r="E248" s="37" t="n">
        <x:f>IF(B248="","",C248-D248)</x:f>
        <x:v>0</x:v>
      </x:c>
      <x:c r="F248" s="37" t="n">
        <x:f>IF(B248="","",F247+E248)</x:f>
        <x:v>22125</x:v>
      </x:c>
      <x:c r="G248" s="37" t="n">
        <x:f>IF(OR(B248="",$I$6&lt;&gt;"Complete"),"",SUMIFS($D$32:$D$51,$C$32:$C$51,B248,$I$32:$I$51,"Ready"))</x:f>
        <x:v>0</x:v>
      </x:c>
      <x:c r="H248" s="37" t="n">
        <x:f>IF(OR(B248="",$I$6&lt;&gt;"Complete"),"",SUMIFS($E$32:$E$51,$C$32:$C$51,B248,$I$32:$I$51,"Ready"))</x:f>
        <x:v>0</x:v>
      </x:c>
      <x:c r="I248" s="37" t="n">
        <x:f>IF(OR(B248="",$I$6&lt;&gt;"Complete"),"",I247+E248+G248-H248)</x:f>
        <x:v>102125</x:v>
      </x:c>
      <x:c r="J248" s="37" t="n">
        <x:f>IF(OR(B248="",$I$6&lt;&gt;"Complete"),"",'Inputs'!$C$49)</x:f>
        <x:v>25000</x:v>
      </x:c>
      <x:c r="K248" s="37" t="n">
        <x:f>IF(OR(B248="",$I$6&lt;&gt;"Complete"),"",I248-J248)</x:f>
        <x:v>77125</x:v>
      </x:c>
      <x:c r="L248" s="61" t="n">
        <x:f>IF(OR(B248="",$I$6&lt;&gt;"Complete"),"",IF(K248&lt;0,1,0))</x:f>
        <x:v>0</x:v>
      </x:c>
    </x:row>
    <x:row r="249" ht="23" customHeight="1">
      <x:c r="A249" s="2"/>
      <x:c r="B249" s="60" t="n">
        <x:f>IF($D$6&lt;&gt;"Complete","",IF('Inputs'!$C$47+179&lt;=$D$9,'Inputs'!$C$47+179,""))</x:f>
        <x:v>46465</x:v>
      </x:c>
      <x:c r="C249" s="37" t="n">
        <x:f>IF(B249="","",SUMIFS($D$14:$D$23,$C$14:$C$23,B249))</x:f>
        <x:v>0</x:v>
      </x:c>
      <x:c r="D249" s="37" t="n">
        <x:f>IF(B249="","",SUMIFS($E$14:$E$23,$C$14:$C$23,B249))</x:f>
        <x:v>0</x:v>
      </x:c>
      <x:c r="E249" s="37" t="n">
        <x:f>IF(B249="","",C249-D249)</x:f>
        <x:v>0</x:v>
      </x:c>
      <x:c r="F249" s="37" t="n">
        <x:f>IF(B249="","",F248+E249)</x:f>
        <x:v>22125</x:v>
      </x:c>
      <x:c r="G249" s="37" t="n">
        <x:f>IF(OR(B249="",$I$6&lt;&gt;"Complete"),"",SUMIFS($D$32:$D$51,$C$32:$C$51,B249,$I$32:$I$51,"Ready"))</x:f>
        <x:v>0</x:v>
      </x:c>
      <x:c r="H249" s="37" t="n">
        <x:f>IF(OR(B249="",$I$6&lt;&gt;"Complete"),"",SUMIFS($E$32:$E$51,$C$32:$C$51,B249,$I$32:$I$51,"Ready"))</x:f>
        <x:v>0</x:v>
      </x:c>
      <x:c r="I249" s="37" t="n">
        <x:f>IF(OR(B249="",$I$6&lt;&gt;"Complete"),"",I248+E249+G249-H249)</x:f>
        <x:v>102125</x:v>
      </x:c>
      <x:c r="J249" s="37" t="n">
        <x:f>IF(OR(B249="",$I$6&lt;&gt;"Complete"),"",'Inputs'!$C$49)</x:f>
        <x:v>25000</x:v>
      </x:c>
      <x:c r="K249" s="37" t="n">
        <x:f>IF(OR(B249="",$I$6&lt;&gt;"Complete"),"",I249-J249)</x:f>
        <x:v>77125</x:v>
      </x:c>
      <x:c r="L249" s="61" t="n">
        <x:f>IF(OR(B249="",$I$6&lt;&gt;"Complete"),"",IF(K249&lt;0,1,0))</x:f>
        <x:v>0</x:v>
      </x:c>
    </x:row>
    <x:row r="250" ht="23" customHeight="1">
      <x:c r="A250" s="2"/>
      <x:c r="B250" s="60" t="n">
        <x:f>IF($D$6&lt;&gt;"Complete","",IF('Inputs'!$C$47+180&lt;=$D$9,'Inputs'!$C$47+180,""))</x:f>
        <x:v>46466</x:v>
      </x:c>
      <x:c r="C250" s="37" t="n">
        <x:f>IF(B250="","",SUMIFS($D$14:$D$23,$C$14:$C$23,B250))</x:f>
        <x:v>0</x:v>
      </x:c>
      <x:c r="D250" s="37" t="n">
        <x:f>IF(B250="","",SUMIFS($E$14:$E$23,$C$14:$C$23,B250))</x:f>
        <x:v>0</x:v>
      </x:c>
      <x:c r="E250" s="37" t="n">
        <x:f>IF(B250="","",C250-D250)</x:f>
        <x:v>0</x:v>
      </x:c>
      <x:c r="F250" s="37" t="n">
        <x:f>IF(B250="","",F249+E250)</x:f>
        <x:v>22125</x:v>
      </x:c>
      <x:c r="G250" s="37" t="n">
        <x:f>IF(OR(B250="",$I$6&lt;&gt;"Complete"),"",SUMIFS($D$32:$D$51,$C$32:$C$51,B250,$I$32:$I$51,"Ready"))</x:f>
        <x:v>0</x:v>
      </x:c>
      <x:c r="H250" s="37" t="n">
        <x:f>IF(OR(B250="",$I$6&lt;&gt;"Complete"),"",SUMIFS($E$32:$E$51,$C$32:$C$51,B250,$I$32:$I$51,"Ready"))</x:f>
        <x:v>0</x:v>
      </x:c>
      <x:c r="I250" s="37" t="n">
        <x:f>IF(OR(B250="",$I$6&lt;&gt;"Complete"),"",I249+E250+G250-H250)</x:f>
        <x:v>102125</x:v>
      </x:c>
      <x:c r="J250" s="37" t="n">
        <x:f>IF(OR(B250="",$I$6&lt;&gt;"Complete"),"",'Inputs'!$C$49)</x:f>
        <x:v>25000</x:v>
      </x:c>
      <x:c r="K250" s="37" t="n">
        <x:f>IF(OR(B250="",$I$6&lt;&gt;"Complete"),"",I250-J250)</x:f>
        <x:v>77125</x:v>
      </x:c>
      <x:c r="L250" s="61" t="n">
        <x:f>IF(OR(B250="",$I$6&lt;&gt;"Complete"),"",IF(K250&lt;0,1,0))</x:f>
        <x:v>0</x:v>
      </x:c>
    </x:row>
    <x:row r="251" ht="23" customHeight="1">
      <x:c r="A251" s="2"/>
      <x:c r="B251" s="60" t="str">
        <x:f>IF($D$6&lt;&gt;"Complete","",IF('Inputs'!$C$47+181&lt;=$D$9,'Inputs'!$C$47+181,""))</x:f>
      </x:c>
      <x:c r="C251" s="37" t="str">
        <x:f>IF(B251="","",SUMIFS($D$14:$D$23,$C$14:$C$23,B251))</x:f>
      </x:c>
      <x:c r="D251" s="37" t="str">
        <x:f>IF(B251="","",SUMIFS($E$14:$E$23,$C$14:$C$23,B251))</x:f>
      </x:c>
      <x:c r="E251" s="37" t="str">
        <x:f>IF(B251="","",C251-D251)</x:f>
      </x:c>
      <x:c r="F251" s="37" t="str">
        <x:f>IF(B251="","",F250+E251)</x:f>
      </x:c>
      <x:c r="G251" s="37" t="str">
        <x:f>IF(OR(B251="",$I$6&lt;&gt;"Complete"),"",SUMIFS($D$32:$D$51,$C$32:$C$51,B251,$I$32:$I$51,"Ready"))</x:f>
      </x:c>
      <x:c r="H251" s="37" t="str">
        <x:f>IF(OR(B251="",$I$6&lt;&gt;"Complete"),"",SUMIFS($E$32:$E$51,$C$32:$C$51,B251,$I$32:$I$51,"Ready"))</x:f>
      </x:c>
      <x:c r="I251" s="37" t="str">
        <x:f>IF(OR(B251="",$I$6&lt;&gt;"Complete"),"",I250+E251+G251-H251)</x:f>
      </x:c>
      <x:c r="J251" s="37" t="str">
        <x:f>IF(OR(B251="",$I$6&lt;&gt;"Complete"),"",'Inputs'!$C$49)</x:f>
      </x:c>
      <x:c r="K251" s="37" t="str">
        <x:f>IF(OR(B251="",$I$6&lt;&gt;"Complete"),"",I251-J251)</x:f>
      </x:c>
      <x:c r="L251" s="61" t="str">
        <x:f>IF(OR(B251="",$I$6&lt;&gt;"Complete"),"",IF(K251&lt;0,1,0))</x:f>
      </x:c>
    </x:row>
    <x:row r="252" ht="23" customHeight="1">
      <x:c r="A252" s="2"/>
      <x:c r="B252" s="60" t="str">
        <x:f>IF($D$6&lt;&gt;"Complete","",IF('Inputs'!$C$47+182&lt;=$D$9,'Inputs'!$C$47+182,""))</x:f>
      </x:c>
      <x:c r="C252" s="37" t="str">
        <x:f>IF(B252="","",SUMIFS($D$14:$D$23,$C$14:$C$23,B252))</x:f>
      </x:c>
      <x:c r="D252" s="37" t="str">
        <x:f>IF(B252="","",SUMIFS($E$14:$E$23,$C$14:$C$23,B252))</x:f>
      </x:c>
      <x:c r="E252" s="37" t="str">
        <x:f>IF(B252="","",C252-D252)</x:f>
      </x:c>
      <x:c r="F252" s="37" t="str">
        <x:f>IF(B252="","",F251+E252)</x:f>
      </x:c>
      <x:c r="G252" s="37" t="str">
        <x:f>IF(OR(B252="",$I$6&lt;&gt;"Complete"),"",SUMIFS($D$32:$D$51,$C$32:$C$51,B252,$I$32:$I$51,"Ready"))</x:f>
      </x:c>
      <x:c r="H252" s="37" t="str">
        <x:f>IF(OR(B252="",$I$6&lt;&gt;"Complete"),"",SUMIFS($E$32:$E$51,$C$32:$C$51,B252,$I$32:$I$51,"Ready"))</x:f>
      </x:c>
      <x:c r="I252" s="37" t="str">
        <x:f>IF(OR(B252="",$I$6&lt;&gt;"Complete"),"",I251+E252+G252-H252)</x:f>
      </x:c>
      <x:c r="J252" s="37" t="str">
        <x:f>IF(OR(B252="",$I$6&lt;&gt;"Complete"),"",'Inputs'!$C$49)</x:f>
      </x:c>
      <x:c r="K252" s="37" t="str">
        <x:f>IF(OR(B252="",$I$6&lt;&gt;"Complete"),"",I252-J252)</x:f>
      </x:c>
      <x:c r="L252" s="61" t="str">
        <x:f>IF(OR(B252="",$I$6&lt;&gt;"Complete"),"",IF(K252&lt;0,1,0))</x:f>
      </x:c>
    </x:row>
    <x:row r="253" ht="23" customHeight="1">
      <x:c r="A253" s="2"/>
      <x:c r="B253" s="60" t="str">
        <x:f>IF($D$6&lt;&gt;"Complete","",IF('Inputs'!$C$47+183&lt;=$D$9,'Inputs'!$C$47+183,""))</x:f>
      </x:c>
      <x:c r="C253" s="37" t="str">
        <x:f>IF(B253="","",SUMIFS($D$14:$D$23,$C$14:$C$23,B253))</x:f>
      </x:c>
      <x:c r="D253" s="37" t="str">
        <x:f>IF(B253="","",SUMIFS($E$14:$E$23,$C$14:$C$23,B253))</x:f>
      </x:c>
      <x:c r="E253" s="37" t="str">
        <x:f>IF(B253="","",C253-D253)</x:f>
      </x:c>
      <x:c r="F253" s="37" t="str">
        <x:f>IF(B253="","",F252+E253)</x:f>
      </x:c>
      <x:c r="G253" s="37" t="str">
        <x:f>IF(OR(B253="",$I$6&lt;&gt;"Complete"),"",SUMIFS($D$32:$D$51,$C$32:$C$51,B253,$I$32:$I$51,"Ready"))</x:f>
      </x:c>
      <x:c r="H253" s="37" t="str">
        <x:f>IF(OR(B253="",$I$6&lt;&gt;"Complete"),"",SUMIFS($E$32:$E$51,$C$32:$C$51,B253,$I$32:$I$51,"Ready"))</x:f>
      </x:c>
      <x:c r="I253" s="37" t="str">
        <x:f>IF(OR(B253="",$I$6&lt;&gt;"Complete"),"",I252+E253+G253-H253)</x:f>
      </x:c>
      <x:c r="J253" s="37" t="str">
        <x:f>IF(OR(B253="",$I$6&lt;&gt;"Complete"),"",'Inputs'!$C$49)</x:f>
      </x:c>
      <x:c r="K253" s="37" t="str">
        <x:f>IF(OR(B253="",$I$6&lt;&gt;"Complete"),"",I253-J253)</x:f>
      </x:c>
      <x:c r="L253" s="61" t="str">
        <x:f>IF(OR(B253="",$I$6&lt;&gt;"Complete"),"",IF(K253&lt;0,1,0))</x:f>
      </x:c>
    </x:row>
    <x:row r="254" ht="23" customHeight="1">
      <x:c r="A254" s="2"/>
      <x:c r="B254" s="60" t="str">
        <x:f>IF($D$6&lt;&gt;"Complete","",IF('Inputs'!$C$47+184&lt;=$D$9,'Inputs'!$C$47+184,""))</x:f>
      </x:c>
      <x:c r="C254" s="37" t="str">
        <x:f>IF(B254="","",SUMIFS($D$14:$D$23,$C$14:$C$23,B254))</x:f>
      </x:c>
      <x:c r="D254" s="37" t="str">
        <x:f>IF(B254="","",SUMIFS($E$14:$E$23,$C$14:$C$23,B254))</x:f>
      </x:c>
      <x:c r="E254" s="37" t="str">
        <x:f>IF(B254="","",C254-D254)</x:f>
      </x:c>
      <x:c r="F254" s="37" t="str">
        <x:f>IF(B254="","",F253+E254)</x:f>
      </x:c>
      <x:c r="G254" s="37" t="str">
        <x:f>IF(OR(B254="",$I$6&lt;&gt;"Complete"),"",SUMIFS($D$32:$D$51,$C$32:$C$51,B254,$I$32:$I$51,"Ready"))</x:f>
      </x:c>
      <x:c r="H254" s="37" t="str">
        <x:f>IF(OR(B254="",$I$6&lt;&gt;"Complete"),"",SUMIFS($E$32:$E$51,$C$32:$C$51,B254,$I$32:$I$51,"Ready"))</x:f>
      </x:c>
      <x:c r="I254" s="37" t="str">
        <x:f>IF(OR(B254="",$I$6&lt;&gt;"Complete"),"",I253+E254+G254-H254)</x:f>
      </x:c>
      <x:c r="J254" s="37" t="str">
        <x:f>IF(OR(B254="",$I$6&lt;&gt;"Complete"),"",'Inputs'!$C$49)</x:f>
      </x:c>
      <x:c r="K254" s="37" t="str">
        <x:f>IF(OR(B254="",$I$6&lt;&gt;"Complete"),"",I254-J254)</x:f>
      </x:c>
      <x:c r="L254" s="61" t="str">
        <x:f>IF(OR(B254="",$I$6&lt;&gt;"Complete"),"",IF(K254&lt;0,1,0))</x:f>
      </x:c>
    </x:row>
    <x:row r="255" ht="23" customHeight="1">
      <x:c r="A255" s="2"/>
      <x:c r="B255" s="60" t="str">
        <x:f>IF($D$6&lt;&gt;"Complete","",IF('Inputs'!$C$47+185&lt;=$D$9,'Inputs'!$C$47+185,""))</x:f>
      </x:c>
      <x:c r="C255" s="37" t="str">
        <x:f>IF(B255="","",SUMIFS($D$14:$D$23,$C$14:$C$23,B255))</x:f>
      </x:c>
      <x:c r="D255" s="37" t="str">
        <x:f>IF(B255="","",SUMIFS($E$14:$E$23,$C$14:$C$23,B255))</x:f>
      </x:c>
      <x:c r="E255" s="37" t="str">
        <x:f>IF(B255="","",C255-D255)</x:f>
      </x:c>
      <x:c r="F255" s="37" t="str">
        <x:f>IF(B255="","",F254+E255)</x:f>
      </x:c>
      <x:c r="G255" s="37" t="str">
        <x:f>IF(OR(B255="",$I$6&lt;&gt;"Complete"),"",SUMIFS($D$32:$D$51,$C$32:$C$51,B255,$I$32:$I$51,"Ready"))</x:f>
      </x:c>
      <x:c r="H255" s="37" t="str">
        <x:f>IF(OR(B255="",$I$6&lt;&gt;"Complete"),"",SUMIFS($E$32:$E$51,$C$32:$C$51,B255,$I$32:$I$51,"Ready"))</x:f>
      </x:c>
      <x:c r="I255" s="37" t="str">
        <x:f>IF(OR(B255="",$I$6&lt;&gt;"Complete"),"",I254+E255+G255-H255)</x:f>
      </x:c>
      <x:c r="J255" s="37" t="str">
        <x:f>IF(OR(B255="",$I$6&lt;&gt;"Complete"),"",'Inputs'!$C$49)</x:f>
      </x:c>
      <x:c r="K255" s="37" t="str">
        <x:f>IF(OR(B255="",$I$6&lt;&gt;"Complete"),"",I255-J255)</x:f>
      </x:c>
      <x:c r="L255" s="61" t="str">
        <x:f>IF(OR(B255="",$I$6&lt;&gt;"Complete"),"",IF(K255&lt;0,1,0))</x:f>
      </x:c>
    </x:row>
    <x:row r="256" ht="23" customHeight="1">
      <x:c r="A256" s="2"/>
      <x:c r="B256" s="60" t="str">
        <x:f>IF($D$6&lt;&gt;"Complete","",IF('Inputs'!$C$47+186&lt;=$D$9,'Inputs'!$C$47+186,""))</x:f>
      </x:c>
      <x:c r="C256" s="37" t="str">
        <x:f>IF(B256="","",SUMIFS($D$14:$D$23,$C$14:$C$23,B256))</x:f>
      </x:c>
      <x:c r="D256" s="37" t="str">
        <x:f>IF(B256="","",SUMIFS($E$14:$E$23,$C$14:$C$23,B256))</x:f>
      </x:c>
      <x:c r="E256" s="37" t="str">
        <x:f>IF(B256="","",C256-D256)</x:f>
      </x:c>
      <x:c r="F256" s="37" t="str">
        <x:f>IF(B256="","",F255+E256)</x:f>
      </x:c>
      <x:c r="G256" s="37" t="str">
        <x:f>IF(OR(B256="",$I$6&lt;&gt;"Complete"),"",SUMIFS($D$32:$D$51,$C$32:$C$51,B256,$I$32:$I$51,"Ready"))</x:f>
      </x:c>
      <x:c r="H256" s="37" t="str">
        <x:f>IF(OR(B256="",$I$6&lt;&gt;"Complete"),"",SUMIFS($E$32:$E$51,$C$32:$C$51,B256,$I$32:$I$51,"Ready"))</x:f>
      </x:c>
      <x:c r="I256" s="37" t="str">
        <x:f>IF(OR(B256="",$I$6&lt;&gt;"Complete"),"",I255+E256+G256-H256)</x:f>
      </x:c>
      <x:c r="J256" s="37" t="str">
        <x:f>IF(OR(B256="",$I$6&lt;&gt;"Complete"),"",'Inputs'!$C$49)</x:f>
      </x:c>
      <x:c r="K256" s="37" t="str">
        <x:f>IF(OR(B256="",$I$6&lt;&gt;"Complete"),"",I256-J256)</x:f>
      </x:c>
      <x:c r="L256" s="61" t="str">
        <x:f>IF(OR(B256="",$I$6&lt;&gt;"Complete"),"",IF(K256&lt;0,1,0))</x:f>
      </x:c>
    </x:row>
    <x:row r="257" ht="23" customHeight="1">
      <x:c r="A257" s="2"/>
      <x:c r="B257" s="60" t="str">
        <x:f>IF($D$6&lt;&gt;"Complete","",IF('Inputs'!$C$47+187&lt;=$D$9,'Inputs'!$C$47+187,""))</x:f>
      </x:c>
      <x:c r="C257" s="37" t="str">
        <x:f>IF(B257="","",SUMIFS($D$14:$D$23,$C$14:$C$23,B257))</x:f>
      </x:c>
      <x:c r="D257" s="37" t="str">
        <x:f>IF(B257="","",SUMIFS($E$14:$E$23,$C$14:$C$23,B257))</x:f>
      </x:c>
      <x:c r="E257" s="37" t="str">
        <x:f>IF(B257="","",C257-D257)</x:f>
      </x:c>
      <x:c r="F257" s="37" t="str">
        <x:f>IF(B257="","",F256+E257)</x:f>
      </x:c>
      <x:c r="G257" s="37" t="str">
        <x:f>IF(OR(B257="",$I$6&lt;&gt;"Complete"),"",SUMIFS($D$32:$D$51,$C$32:$C$51,B257,$I$32:$I$51,"Ready"))</x:f>
      </x:c>
      <x:c r="H257" s="37" t="str">
        <x:f>IF(OR(B257="",$I$6&lt;&gt;"Complete"),"",SUMIFS($E$32:$E$51,$C$32:$C$51,B257,$I$32:$I$51,"Ready"))</x:f>
      </x:c>
      <x:c r="I257" s="37" t="str">
        <x:f>IF(OR(B257="",$I$6&lt;&gt;"Complete"),"",I256+E257+G257-H257)</x:f>
      </x:c>
      <x:c r="J257" s="37" t="str">
        <x:f>IF(OR(B257="",$I$6&lt;&gt;"Complete"),"",'Inputs'!$C$49)</x:f>
      </x:c>
      <x:c r="K257" s="37" t="str">
        <x:f>IF(OR(B257="",$I$6&lt;&gt;"Complete"),"",I257-J257)</x:f>
      </x:c>
      <x:c r="L257" s="61" t="str">
        <x:f>IF(OR(B257="",$I$6&lt;&gt;"Complete"),"",IF(K257&lt;0,1,0))</x:f>
      </x:c>
    </x:row>
    <x:row r="258" ht="23" customHeight="1">
      <x:c r="A258" s="2"/>
      <x:c r="B258" s="60" t="str">
        <x:f>IF($D$6&lt;&gt;"Complete","",IF('Inputs'!$C$47+188&lt;=$D$9,'Inputs'!$C$47+188,""))</x:f>
      </x:c>
      <x:c r="C258" s="37" t="str">
        <x:f>IF(B258="","",SUMIFS($D$14:$D$23,$C$14:$C$23,B258))</x:f>
      </x:c>
      <x:c r="D258" s="37" t="str">
        <x:f>IF(B258="","",SUMIFS($E$14:$E$23,$C$14:$C$23,B258))</x:f>
      </x:c>
      <x:c r="E258" s="37" t="str">
        <x:f>IF(B258="","",C258-D258)</x:f>
      </x:c>
      <x:c r="F258" s="37" t="str">
        <x:f>IF(B258="","",F257+E258)</x:f>
      </x:c>
      <x:c r="G258" s="37" t="str">
        <x:f>IF(OR(B258="",$I$6&lt;&gt;"Complete"),"",SUMIFS($D$32:$D$51,$C$32:$C$51,B258,$I$32:$I$51,"Ready"))</x:f>
      </x:c>
      <x:c r="H258" s="37" t="str">
        <x:f>IF(OR(B258="",$I$6&lt;&gt;"Complete"),"",SUMIFS($E$32:$E$51,$C$32:$C$51,B258,$I$32:$I$51,"Ready"))</x:f>
      </x:c>
      <x:c r="I258" s="37" t="str">
        <x:f>IF(OR(B258="",$I$6&lt;&gt;"Complete"),"",I257+E258+G258-H258)</x:f>
      </x:c>
      <x:c r="J258" s="37" t="str">
        <x:f>IF(OR(B258="",$I$6&lt;&gt;"Complete"),"",'Inputs'!$C$49)</x:f>
      </x:c>
      <x:c r="K258" s="37" t="str">
        <x:f>IF(OR(B258="",$I$6&lt;&gt;"Complete"),"",I258-J258)</x:f>
      </x:c>
      <x:c r="L258" s="61" t="str">
        <x:f>IF(OR(B258="",$I$6&lt;&gt;"Complete"),"",IF(K258&lt;0,1,0))</x:f>
      </x:c>
    </x:row>
    <x:row r="259" ht="23" customHeight="1">
      <x:c r="A259" s="2"/>
      <x:c r="B259" s="60" t="str">
        <x:f>IF($D$6&lt;&gt;"Complete","",IF('Inputs'!$C$47+189&lt;=$D$9,'Inputs'!$C$47+189,""))</x:f>
      </x:c>
      <x:c r="C259" s="37" t="str">
        <x:f>IF(B259="","",SUMIFS($D$14:$D$23,$C$14:$C$23,B259))</x:f>
      </x:c>
      <x:c r="D259" s="37" t="str">
        <x:f>IF(B259="","",SUMIFS($E$14:$E$23,$C$14:$C$23,B259))</x:f>
      </x:c>
      <x:c r="E259" s="37" t="str">
        <x:f>IF(B259="","",C259-D259)</x:f>
      </x:c>
      <x:c r="F259" s="37" t="str">
        <x:f>IF(B259="","",F258+E259)</x:f>
      </x:c>
      <x:c r="G259" s="37" t="str">
        <x:f>IF(OR(B259="",$I$6&lt;&gt;"Complete"),"",SUMIFS($D$32:$D$51,$C$32:$C$51,B259,$I$32:$I$51,"Ready"))</x:f>
      </x:c>
      <x:c r="H259" s="37" t="str">
        <x:f>IF(OR(B259="",$I$6&lt;&gt;"Complete"),"",SUMIFS($E$32:$E$51,$C$32:$C$51,B259,$I$32:$I$51,"Ready"))</x:f>
      </x:c>
      <x:c r="I259" s="37" t="str">
        <x:f>IF(OR(B259="",$I$6&lt;&gt;"Complete"),"",I258+E259+G259-H259)</x:f>
      </x:c>
      <x:c r="J259" s="37" t="str">
        <x:f>IF(OR(B259="",$I$6&lt;&gt;"Complete"),"",'Inputs'!$C$49)</x:f>
      </x:c>
      <x:c r="K259" s="37" t="str">
        <x:f>IF(OR(B259="",$I$6&lt;&gt;"Complete"),"",I259-J259)</x:f>
      </x:c>
      <x:c r="L259" s="61" t="str">
        <x:f>IF(OR(B259="",$I$6&lt;&gt;"Complete"),"",IF(K259&lt;0,1,0))</x:f>
      </x:c>
    </x:row>
    <x:row r="260" ht="23" customHeight="1">
      <x:c r="A260" s="2"/>
      <x:c r="B260" s="60" t="str">
        <x:f>IF($D$6&lt;&gt;"Complete","",IF('Inputs'!$C$47+190&lt;=$D$9,'Inputs'!$C$47+190,""))</x:f>
      </x:c>
      <x:c r="C260" s="37" t="str">
        <x:f>IF(B260="","",SUMIFS($D$14:$D$23,$C$14:$C$23,B260))</x:f>
      </x:c>
      <x:c r="D260" s="37" t="str">
        <x:f>IF(B260="","",SUMIFS($E$14:$E$23,$C$14:$C$23,B260))</x:f>
      </x:c>
      <x:c r="E260" s="37" t="str">
        <x:f>IF(B260="","",C260-D260)</x:f>
      </x:c>
      <x:c r="F260" s="37" t="str">
        <x:f>IF(B260="","",F259+E260)</x:f>
      </x:c>
      <x:c r="G260" s="37" t="str">
        <x:f>IF(OR(B260="",$I$6&lt;&gt;"Complete"),"",SUMIFS($D$32:$D$51,$C$32:$C$51,B260,$I$32:$I$51,"Ready"))</x:f>
      </x:c>
      <x:c r="H260" s="37" t="str">
        <x:f>IF(OR(B260="",$I$6&lt;&gt;"Complete"),"",SUMIFS($E$32:$E$51,$C$32:$C$51,B260,$I$32:$I$51,"Ready"))</x:f>
      </x:c>
      <x:c r="I260" s="37" t="str">
        <x:f>IF(OR(B260="",$I$6&lt;&gt;"Complete"),"",I259+E260+G260-H260)</x:f>
      </x:c>
      <x:c r="J260" s="37" t="str">
        <x:f>IF(OR(B260="",$I$6&lt;&gt;"Complete"),"",'Inputs'!$C$49)</x:f>
      </x:c>
      <x:c r="K260" s="37" t="str">
        <x:f>IF(OR(B260="",$I$6&lt;&gt;"Complete"),"",I260-J260)</x:f>
      </x:c>
      <x:c r="L260" s="61" t="str">
        <x:f>IF(OR(B260="",$I$6&lt;&gt;"Complete"),"",IF(K260&lt;0,1,0))</x:f>
      </x:c>
    </x:row>
    <x:row r="261" ht="23" customHeight="1">
      <x:c r="A261" s="2"/>
      <x:c r="B261" s="60" t="str">
        <x:f>IF($D$6&lt;&gt;"Complete","",IF('Inputs'!$C$47+191&lt;=$D$9,'Inputs'!$C$47+191,""))</x:f>
      </x:c>
      <x:c r="C261" s="37" t="str">
        <x:f>IF(B261="","",SUMIFS($D$14:$D$23,$C$14:$C$23,B261))</x:f>
      </x:c>
      <x:c r="D261" s="37" t="str">
        <x:f>IF(B261="","",SUMIFS($E$14:$E$23,$C$14:$C$23,B261))</x:f>
      </x:c>
      <x:c r="E261" s="37" t="str">
        <x:f>IF(B261="","",C261-D261)</x:f>
      </x:c>
      <x:c r="F261" s="37" t="str">
        <x:f>IF(B261="","",F260+E261)</x:f>
      </x:c>
      <x:c r="G261" s="37" t="str">
        <x:f>IF(OR(B261="",$I$6&lt;&gt;"Complete"),"",SUMIFS($D$32:$D$51,$C$32:$C$51,B261,$I$32:$I$51,"Ready"))</x:f>
      </x:c>
      <x:c r="H261" s="37" t="str">
        <x:f>IF(OR(B261="",$I$6&lt;&gt;"Complete"),"",SUMIFS($E$32:$E$51,$C$32:$C$51,B261,$I$32:$I$51,"Ready"))</x:f>
      </x:c>
      <x:c r="I261" s="37" t="str">
        <x:f>IF(OR(B261="",$I$6&lt;&gt;"Complete"),"",I260+E261+G261-H261)</x:f>
      </x:c>
      <x:c r="J261" s="37" t="str">
        <x:f>IF(OR(B261="",$I$6&lt;&gt;"Complete"),"",'Inputs'!$C$49)</x:f>
      </x:c>
      <x:c r="K261" s="37" t="str">
        <x:f>IF(OR(B261="",$I$6&lt;&gt;"Complete"),"",I261-J261)</x:f>
      </x:c>
      <x:c r="L261" s="61" t="str">
        <x:f>IF(OR(B261="",$I$6&lt;&gt;"Complete"),"",IF(K261&lt;0,1,0))</x:f>
      </x:c>
    </x:row>
    <x:row r="262" ht="23" customHeight="1">
      <x:c r="A262" s="2"/>
      <x:c r="B262" s="60" t="str">
        <x:f>IF($D$6&lt;&gt;"Complete","",IF('Inputs'!$C$47+192&lt;=$D$9,'Inputs'!$C$47+192,""))</x:f>
      </x:c>
      <x:c r="C262" s="37" t="str">
        <x:f>IF(B262="","",SUMIFS($D$14:$D$23,$C$14:$C$23,B262))</x:f>
      </x:c>
      <x:c r="D262" s="37" t="str">
        <x:f>IF(B262="","",SUMIFS($E$14:$E$23,$C$14:$C$23,B262))</x:f>
      </x:c>
      <x:c r="E262" s="37" t="str">
        <x:f>IF(B262="","",C262-D262)</x:f>
      </x:c>
      <x:c r="F262" s="37" t="str">
        <x:f>IF(B262="","",F261+E262)</x:f>
      </x:c>
      <x:c r="G262" s="37" t="str">
        <x:f>IF(OR(B262="",$I$6&lt;&gt;"Complete"),"",SUMIFS($D$32:$D$51,$C$32:$C$51,B262,$I$32:$I$51,"Ready"))</x:f>
      </x:c>
      <x:c r="H262" s="37" t="str">
        <x:f>IF(OR(B262="",$I$6&lt;&gt;"Complete"),"",SUMIFS($E$32:$E$51,$C$32:$C$51,B262,$I$32:$I$51,"Ready"))</x:f>
      </x:c>
      <x:c r="I262" s="37" t="str">
        <x:f>IF(OR(B262="",$I$6&lt;&gt;"Complete"),"",I261+E262+G262-H262)</x:f>
      </x:c>
      <x:c r="J262" s="37" t="str">
        <x:f>IF(OR(B262="",$I$6&lt;&gt;"Complete"),"",'Inputs'!$C$49)</x:f>
      </x:c>
      <x:c r="K262" s="37" t="str">
        <x:f>IF(OR(B262="",$I$6&lt;&gt;"Complete"),"",I262-J262)</x:f>
      </x:c>
      <x:c r="L262" s="61" t="str">
        <x:f>IF(OR(B262="",$I$6&lt;&gt;"Complete"),"",IF(K262&lt;0,1,0))</x:f>
      </x:c>
    </x:row>
    <x:row r="263" ht="23" customHeight="1">
      <x:c r="A263" s="2"/>
      <x:c r="B263" s="60" t="str">
        <x:f>IF($D$6&lt;&gt;"Complete","",IF('Inputs'!$C$47+193&lt;=$D$9,'Inputs'!$C$47+193,""))</x:f>
      </x:c>
      <x:c r="C263" s="37" t="str">
        <x:f>IF(B263="","",SUMIFS($D$14:$D$23,$C$14:$C$23,B263))</x:f>
      </x:c>
      <x:c r="D263" s="37" t="str">
        <x:f>IF(B263="","",SUMIFS($E$14:$E$23,$C$14:$C$23,B263))</x:f>
      </x:c>
      <x:c r="E263" s="37" t="str">
        <x:f>IF(B263="","",C263-D263)</x:f>
      </x:c>
      <x:c r="F263" s="37" t="str">
        <x:f>IF(B263="","",F262+E263)</x:f>
      </x:c>
      <x:c r="G263" s="37" t="str">
        <x:f>IF(OR(B263="",$I$6&lt;&gt;"Complete"),"",SUMIFS($D$32:$D$51,$C$32:$C$51,B263,$I$32:$I$51,"Ready"))</x:f>
      </x:c>
      <x:c r="H263" s="37" t="str">
        <x:f>IF(OR(B263="",$I$6&lt;&gt;"Complete"),"",SUMIFS($E$32:$E$51,$C$32:$C$51,B263,$I$32:$I$51,"Ready"))</x:f>
      </x:c>
      <x:c r="I263" s="37" t="str">
        <x:f>IF(OR(B263="",$I$6&lt;&gt;"Complete"),"",I262+E263+G263-H263)</x:f>
      </x:c>
      <x:c r="J263" s="37" t="str">
        <x:f>IF(OR(B263="",$I$6&lt;&gt;"Complete"),"",'Inputs'!$C$49)</x:f>
      </x:c>
      <x:c r="K263" s="37" t="str">
        <x:f>IF(OR(B263="",$I$6&lt;&gt;"Complete"),"",I263-J263)</x:f>
      </x:c>
      <x:c r="L263" s="61" t="str">
        <x:f>IF(OR(B263="",$I$6&lt;&gt;"Complete"),"",IF(K263&lt;0,1,0))</x:f>
      </x:c>
    </x:row>
    <x:row r="264" ht="23" customHeight="1">
      <x:c r="A264" s="2"/>
      <x:c r="B264" s="60" t="str">
        <x:f>IF($D$6&lt;&gt;"Complete","",IF('Inputs'!$C$47+194&lt;=$D$9,'Inputs'!$C$47+194,""))</x:f>
      </x:c>
      <x:c r="C264" s="37" t="str">
        <x:f>IF(B264="","",SUMIFS($D$14:$D$23,$C$14:$C$23,B264))</x:f>
      </x:c>
      <x:c r="D264" s="37" t="str">
        <x:f>IF(B264="","",SUMIFS($E$14:$E$23,$C$14:$C$23,B264))</x:f>
      </x:c>
      <x:c r="E264" s="37" t="str">
        <x:f>IF(B264="","",C264-D264)</x:f>
      </x:c>
      <x:c r="F264" s="37" t="str">
        <x:f>IF(B264="","",F263+E264)</x:f>
      </x:c>
      <x:c r="G264" s="37" t="str">
        <x:f>IF(OR(B264="",$I$6&lt;&gt;"Complete"),"",SUMIFS($D$32:$D$51,$C$32:$C$51,B264,$I$32:$I$51,"Ready"))</x:f>
      </x:c>
      <x:c r="H264" s="37" t="str">
        <x:f>IF(OR(B264="",$I$6&lt;&gt;"Complete"),"",SUMIFS($E$32:$E$51,$C$32:$C$51,B264,$I$32:$I$51,"Ready"))</x:f>
      </x:c>
      <x:c r="I264" s="37" t="str">
        <x:f>IF(OR(B264="",$I$6&lt;&gt;"Complete"),"",I263+E264+G264-H264)</x:f>
      </x:c>
      <x:c r="J264" s="37" t="str">
        <x:f>IF(OR(B264="",$I$6&lt;&gt;"Complete"),"",'Inputs'!$C$49)</x:f>
      </x:c>
      <x:c r="K264" s="37" t="str">
        <x:f>IF(OR(B264="",$I$6&lt;&gt;"Complete"),"",I264-J264)</x:f>
      </x:c>
      <x:c r="L264" s="61" t="str">
        <x:f>IF(OR(B264="",$I$6&lt;&gt;"Complete"),"",IF(K264&lt;0,1,0))</x:f>
      </x:c>
    </x:row>
    <x:row r="265" ht="23" customHeight="1">
      <x:c r="A265" s="2"/>
      <x:c r="B265" s="60" t="str">
        <x:f>IF($D$6&lt;&gt;"Complete","",IF('Inputs'!$C$47+195&lt;=$D$9,'Inputs'!$C$47+195,""))</x:f>
      </x:c>
      <x:c r="C265" s="37" t="str">
        <x:f>IF(B265="","",SUMIFS($D$14:$D$23,$C$14:$C$23,B265))</x:f>
      </x:c>
      <x:c r="D265" s="37" t="str">
        <x:f>IF(B265="","",SUMIFS($E$14:$E$23,$C$14:$C$23,B265))</x:f>
      </x:c>
      <x:c r="E265" s="37" t="str">
        <x:f>IF(B265="","",C265-D265)</x:f>
      </x:c>
      <x:c r="F265" s="37" t="str">
        <x:f>IF(B265="","",F264+E265)</x:f>
      </x:c>
      <x:c r="G265" s="37" t="str">
        <x:f>IF(OR(B265="",$I$6&lt;&gt;"Complete"),"",SUMIFS($D$32:$D$51,$C$32:$C$51,B265,$I$32:$I$51,"Ready"))</x:f>
      </x:c>
      <x:c r="H265" s="37" t="str">
        <x:f>IF(OR(B265="",$I$6&lt;&gt;"Complete"),"",SUMIFS($E$32:$E$51,$C$32:$C$51,B265,$I$32:$I$51,"Ready"))</x:f>
      </x:c>
      <x:c r="I265" s="37" t="str">
        <x:f>IF(OR(B265="",$I$6&lt;&gt;"Complete"),"",I264+E265+G265-H265)</x:f>
      </x:c>
      <x:c r="J265" s="37" t="str">
        <x:f>IF(OR(B265="",$I$6&lt;&gt;"Complete"),"",'Inputs'!$C$49)</x:f>
      </x:c>
      <x:c r="K265" s="37" t="str">
        <x:f>IF(OR(B265="",$I$6&lt;&gt;"Complete"),"",I265-J265)</x:f>
      </x:c>
      <x:c r="L265" s="61" t="str">
        <x:f>IF(OR(B265="",$I$6&lt;&gt;"Complete"),"",IF(K265&lt;0,1,0))</x:f>
      </x:c>
    </x:row>
    <x:row r="266" ht="23" customHeight="1">
      <x:c r="A266" s="2"/>
      <x:c r="B266" s="60" t="str">
        <x:f>IF($D$6&lt;&gt;"Complete","",IF('Inputs'!$C$47+196&lt;=$D$9,'Inputs'!$C$47+196,""))</x:f>
      </x:c>
      <x:c r="C266" s="37" t="str">
        <x:f>IF(B266="","",SUMIFS($D$14:$D$23,$C$14:$C$23,B266))</x:f>
      </x:c>
      <x:c r="D266" s="37" t="str">
        <x:f>IF(B266="","",SUMIFS($E$14:$E$23,$C$14:$C$23,B266))</x:f>
      </x:c>
      <x:c r="E266" s="37" t="str">
        <x:f>IF(B266="","",C266-D266)</x:f>
      </x:c>
      <x:c r="F266" s="37" t="str">
        <x:f>IF(B266="","",F265+E266)</x:f>
      </x:c>
      <x:c r="G266" s="37" t="str">
        <x:f>IF(OR(B266="",$I$6&lt;&gt;"Complete"),"",SUMIFS($D$32:$D$51,$C$32:$C$51,B266,$I$32:$I$51,"Ready"))</x:f>
      </x:c>
      <x:c r="H266" s="37" t="str">
        <x:f>IF(OR(B266="",$I$6&lt;&gt;"Complete"),"",SUMIFS($E$32:$E$51,$C$32:$C$51,B266,$I$32:$I$51,"Ready"))</x:f>
      </x:c>
      <x:c r="I266" s="37" t="str">
        <x:f>IF(OR(B266="",$I$6&lt;&gt;"Complete"),"",I265+E266+G266-H266)</x:f>
      </x:c>
      <x:c r="J266" s="37" t="str">
        <x:f>IF(OR(B266="",$I$6&lt;&gt;"Complete"),"",'Inputs'!$C$49)</x:f>
      </x:c>
      <x:c r="K266" s="37" t="str">
        <x:f>IF(OR(B266="",$I$6&lt;&gt;"Complete"),"",I266-J266)</x:f>
      </x:c>
      <x:c r="L266" s="61" t="str">
        <x:f>IF(OR(B266="",$I$6&lt;&gt;"Complete"),"",IF(K266&lt;0,1,0))</x:f>
      </x:c>
    </x:row>
    <x:row r="267" ht="23" customHeight="1">
      <x:c r="A267" s="2"/>
      <x:c r="B267" s="60" t="str">
        <x:f>IF($D$6&lt;&gt;"Complete","",IF('Inputs'!$C$47+197&lt;=$D$9,'Inputs'!$C$47+197,""))</x:f>
      </x:c>
      <x:c r="C267" s="37" t="str">
        <x:f>IF(B267="","",SUMIFS($D$14:$D$23,$C$14:$C$23,B267))</x:f>
      </x:c>
      <x:c r="D267" s="37" t="str">
        <x:f>IF(B267="","",SUMIFS($E$14:$E$23,$C$14:$C$23,B267))</x:f>
      </x:c>
      <x:c r="E267" s="37" t="str">
        <x:f>IF(B267="","",C267-D267)</x:f>
      </x:c>
      <x:c r="F267" s="37" t="str">
        <x:f>IF(B267="","",F266+E267)</x:f>
      </x:c>
      <x:c r="G267" s="37" t="str">
        <x:f>IF(OR(B267="",$I$6&lt;&gt;"Complete"),"",SUMIFS($D$32:$D$51,$C$32:$C$51,B267,$I$32:$I$51,"Ready"))</x:f>
      </x:c>
      <x:c r="H267" s="37" t="str">
        <x:f>IF(OR(B267="",$I$6&lt;&gt;"Complete"),"",SUMIFS($E$32:$E$51,$C$32:$C$51,B267,$I$32:$I$51,"Ready"))</x:f>
      </x:c>
      <x:c r="I267" s="37" t="str">
        <x:f>IF(OR(B267="",$I$6&lt;&gt;"Complete"),"",I266+E267+G267-H267)</x:f>
      </x:c>
      <x:c r="J267" s="37" t="str">
        <x:f>IF(OR(B267="",$I$6&lt;&gt;"Complete"),"",'Inputs'!$C$49)</x:f>
      </x:c>
      <x:c r="K267" s="37" t="str">
        <x:f>IF(OR(B267="",$I$6&lt;&gt;"Complete"),"",I267-J267)</x:f>
      </x:c>
      <x:c r="L267" s="61" t="str">
        <x:f>IF(OR(B267="",$I$6&lt;&gt;"Complete"),"",IF(K267&lt;0,1,0))</x:f>
      </x:c>
    </x:row>
    <x:row r="268" ht="23" customHeight="1">
      <x:c r="A268" s="2"/>
      <x:c r="B268" s="60" t="str">
        <x:f>IF($D$6&lt;&gt;"Complete","",IF('Inputs'!$C$47+198&lt;=$D$9,'Inputs'!$C$47+198,""))</x:f>
      </x:c>
      <x:c r="C268" s="37" t="str">
        <x:f>IF(B268="","",SUMIFS($D$14:$D$23,$C$14:$C$23,B268))</x:f>
      </x:c>
      <x:c r="D268" s="37" t="str">
        <x:f>IF(B268="","",SUMIFS($E$14:$E$23,$C$14:$C$23,B268))</x:f>
      </x:c>
      <x:c r="E268" s="37" t="str">
        <x:f>IF(B268="","",C268-D268)</x:f>
      </x:c>
      <x:c r="F268" s="37" t="str">
        <x:f>IF(B268="","",F267+E268)</x:f>
      </x:c>
      <x:c r="G268" s="37" t="str">
        <x:f>IF(OR(B268="",$I$6&lt;&gt;"Complete"),"",SUMIFS($D$32:$D$51,$C$32:$C$51,B268,$I$32:$I$51,"Ready"))</x:f>
      </x:c>
      <x:c r="H268" s="37" t="str">
        <x:f>IF(OR(B268="",$I$6&lt;&gt;"Complete"),"",SUMIFS($E$32:$E$51,$C$32:$C$51,B268,$I$32:$I$51,"Ready"))</x:f>
      </x:c>
      <x:c r="I268" s="37" t="str">
        <x:f>IF(OR(B268="",$I$6&lt;&gt;"Complete"),"",I267+E268+G268-H268)</x:f>
      </x:c>
      <x:c r="J268" s="37" t="str">
        <x:f>IF(OR(B268="",$I$6&lt;&gt;"Complete"),"",'Inputs'!$C$49)</x:f>
      </x:c>
      <x:c r="K268" s="37" t="str">
        <x:f>IF(OR(B268="",$I$6&lt;&gt;"Complete"),"",I268-J268)</x:f>
      </x:c>
      <x:c r="L268" s="61" t="str">
        <x:f>IF(OR(B268="",$I$6&lt;&gt;"Complete"),"",IF(K268&lt;0,1,0))</x:f>
      </x:c>
    </x:row>
    <x:row r="269" ht="23" customHeight="1">
      <x:c r="A269" s="2"/>
      <x:c r="B269" s="60" t="str">
        <x:f>IF($D$6&lt;&gt;"Complete","",IF('Inputs'!$C$47+199&lt;=$D$9,'Inputs'!$C$47+199,""))</x:f>
      </x:c>
      <x:c r="C269" s="37" t="str">
        <x:f>IF(B269="","",SUMIFS($D$14:$D$23,$C$14:$C$23,B269))</x:f>
      </x:c>
      <x:c r="D269" s="37" t="str">
        <x:f>IF(B269="","",SUMIFS($E$14:$E$23,$C$14:$C$23,B269))</x:f>
      </x:c>
      <x:c r="E269" s="37" t="str">
        <x:f>IF(B269="","",C269-D269)</x:f>
      </x:c>
      <x:c r="F269" s="37" t="str">
        <x:f>IF(B269="","",F268+E269)</x:f>
      </x:c>
      <x:c r="G269" s="37" t="str">
        <x:f>IF(OR(B269="",$I$6&lt;&gt;"Complete"),"",SUMIFS($D$32:$D$51,$C$32:$C$51,B269,$I$32:$I$51,"Ready"))</x:f>
      </x:c>
      <x:c r="H269" s="37" t="str">
        <x:f>IF(OR(B269="",$I$6&lt;&gt;"Complete"),"",SUMIFS($E$32:$E$51,$C$32:$C$51,B269,$I$32:$I$51,"Ready"))</x:f>
      </x:c>
      <x:c r="I269" s="37" t="str">
        <x:f>IF(OR(B269="",$I$6&lt;&gt;"Complete"),"",I268+E269+G269-H269)</x:f>
      </x:c>
      <x:c r="J269" s="37" t="str">
        <x:f>IF(OR(B269="",$I$6&lt;&gt;"Complete"),"",'Inputs'!$C$49)</x:f>
      </x:c>
      <x:c r="K269" s="37" t="str">
        <x:f>IF(OR(B269="",$I$6&lt;&gt;"Complete"),"",I269-J269)</x:f>
      </x:c>
      <x:c r="L269" s="61" t="str">
        <x:f>IF(OR(B269="",$I$6&lt;&gt;"Complete"),"",IF(K269&lt;0,1,0))</x:f>
      </x:c>
    </x:row>
    <x:row r="270" ht="23" customHeight="1">
      <x:c r="A270" s="2"/>
      <x:c r="B270" s="60" t="str">
        <x:f>IF($D$6&lt;&gt;"Complete","",IF('Inputs'!$C$47+200&lt;=$D$9,'Inputs'!$C$47+200,""))</x:f>
      </x:c>
      <x:c r="C270" s="37" t="str">
        <x:f>IF(B270="","",SUMIFS($D$14:$D$23,$C$14:$C$23,B270))</x:f>
      </x:c>
      <x:c r="D270" s="37" t="str">
        <x:f>IF(B270="","",SUMIFS($E$14:$E$23,$C$14:$C$23,B270))</x:f>
      </x:c>
      <x:c r="E270" s="37" t="str">
        <x:f>IF(B270="","",C270-D270)</x:f>
      </x:c>
      <x:c r="F270" s="37" t="str">
        <x:f>IF(B270="","",F269+E270)</x:f>
      </x:c>
      <x:c r="G270" s="37" t="str">
        <x:f>IF(OR(B270="",$I$6&lt;&gt;"Complete"),"",SUMIFS($D$32:$D$51,$C$32:$C$51,B270,$I$32:$I$51,"Ready"))</x:f>
      </x:c>
      <x:c r="H270" s="37" t="str">
        <x:f>IF(OR(B270="",$I$6&lt;&gt;"Complete"),"",SUMIFS($E$32:$E$51,$C$32:$C$51,B270,$I$32:$I$51,"Ready"))</x:f>
      </x:c>
      <x:c r="I270" s="37" t="str">
        <x:f>IF(OR(B270="",$I$6&lt;&gt;"Complete"),"",I269+E270+G270-H270)</x:f>
      </x:c>
      <x:c r="J270" s="37" t="str">
        <x:f>IF(OR(B270="",$I$6&lt;&gt;"Complete"),"",'Inputs'!$C$49)</x:f>
      </x:c>
      <x:c r="K270" s="37" t="str">
        <x:f>IF(OR(B270="",$I$6&lt;&gt;"Complete"),"",I270-J270)</x:f>
      </x:c>
      <x:c r="L270" s="61" t="str">
        <x:f>IF(OR(B270="",$I$6&lt;&gt;"Complete"),"",IF(K270&lt;0,1,0))</x:f>
      </x:c>
    </x:row>
    <x:row r="271" ht="23" customHeight="1">
      <x:c r="A271" s="2"/>
      <x:c r="B271" s="60" t="str">
        <x:f>IF($D$6&lt;&gt;"Complete","",IF('Inputs'!$C$47+201&lt;=$D$9,'Inputs'!$C$47+201,""))</x:f>
      </x:c>
      <x:c r="C271" s="37" t="str">
        <x:f>IF(B271="","",SUMIFS($D$14:$D$23,$C$14:$C$23,B271))</x:f>
      </x:c>
      <x:c r="D271" s="37" t="str">
        <x:f>IF(B271="","",SUMIFS($E$14:$E$23,$C$14:$C$23,B271))</x:f>
      </x:c>
      <x:c r="E271" s="37" t="str">
        <x:f>IF(B271="","",C271-D271)</x:f>
      </x:c>
      <x:c r="F271" s="37" t="str">
        <x:f>IF(B271="","",F270+E271)</x:f>
      </x:c>
      <x:c r="G271" s="37" t="str">
        <x:f>IF(OR(B271="",$I$6&lt;&gt;"Complete"),"",SUMIFS($D$32:$D$51,$C$32:$C$51,B271,$I$32:$I$51,"Ready"))</x:f>
      </x:c>
      <x:c r="H271" s="37" t="str">
        <x:f>IF(OR(B271="",$I$6&lt;&gt;"Complete"),"",SUMIFS($E$32:$E$51,$C$32:$C$51,B271,$I$32:$I$51,"Ready"))</x:f>
      </x:c>
      <x:c r="I271" s="37" t="str">
        <x:f>IF(OR(B271="",$I$6&lt;&gt;"Complete"),"",I270+E271+G271-H271)</x:f>
      </x:c>
      <x:c r="J271" s="37" t="str">
        <x:f>IF(OR(B271="",$I$6&lt;&gt;"Complete"),"",'Inputs'!$C$49)</x:f>
      </x:c>
      <x:c r="K271" s="37" t="str">
        <x:f>IF(OR(B271="",$I$6&lt;&gt;"Complete"),"",I271-J271)</x:f>
      </x:c>
      <x:c r="L271" s="61" t="str">
        <x:f>IF(OR(B271="",$I$6&lt;&gt;"Complete"),"",IF(K271&lt;0,1,0))</x:f>
      </x:c>
    </x:row>
    <x:row r="272" ht="23" customHeight="1">
      <x:c r="A272" s="2"/>
      <x:c r="B272" s="60" t="str">
        <x:f>IF($D$6&lt;&gt;"Complete","",IF('Inputs'!$C$47+202&lt;=$D$9,'Inputs'!$C$47+202,""))</x:f>
      </x:c>
      <x:c r="C272" s="37" t="str">
        <x:f>IF(B272="","",SUMIFS($D$14:$D$23,$C$14:$C$23,B272))</x:f>
      </x:c>
      <x:c r="D272" s="37" t="str">
        <x:f>IF(B272="","",SUMIFS($E$14:$E$23,$C$14:$C$23,B272))</x:f>
      </x:c>
      <x:c r="E272" s="37" t="str">
        <x:f>IF(B272="","",C272-D272)</x:f>
      </x:c>
      <x:c r="F272" s="37" t="str">
        <x:f>IF(B272="","",F271+E272)</x:f>
      </x:c>
      <x:c r="G272" s="37" t="str">
        <x:f>IF(OR(B272="",$I$6&lt;&gt;"Complete"),"",SUMIFS($D$32:$D$51,$C$32:$C$51,B272,$I$32:$I$51,"Ready"))</x:f>
      </x:c>
      <x:c r="H272" s="37" t="str">
        <x:f>IF(OR(B272="",$I$6&lt;&gt;"Complete"),"",SUMIFS($E$32:$E$51,$C$32:$C$51,B272,$I$32:$I$51,"Ready"))</x:f>
      </x:c>
      <x:c r="I272" s="37" t="str">
        <x:f>IF(OR(B272="",$I$6&lt;&gt;"Complete"),"",I271+E272+G272-H272)</x:f>
      </x:c>
      <x:c r="J272" s="37" t="str">
        <x:f>IF(OR(B272="",$I$6&lt;&gt;"Complete"),"",'Inputs'!$C$49)</x:f>
      </x:c>
      <x:c r="K272" s="37" t="str">
        <x:f>IF(OR(B272="",$I$6&lt;&gt;"Complete"),"",I272-J272)</x:f>
      </x:c>
      <x:c r="L272" s="61" t="str">
        <x:f>IF(OR(B272="",$I$6&lt;&gt;"Complete"),"",IF(K272&lt;0,1,0))</x:f>
      </x:c>
    </x:row>
    <x:row r="273" ht="23" customHeight="1">
      <x:c r="A273" s="2"/>
      <x:c r="B273" s="60" t="str">
        <x:f>IF($D$6&lt;&gt;"Complete","",IF('Inputs'!$C$47+203&lt;=$D$9,'Inputs'!$C$47+203,""))</x:f>
      </x:c>
      <x:c r="C273" s="37" t="str">
        <x:f>IF(B273="","",SUMIFS($D$14:$D$23,$C$14:$C$23,B273))</x:f>
      </x:c>
      <x:c r="D273" s="37" t="str">
        <x:f>IF(B273="","",SUMIFS($E$14:$E$23,$C$14:$C$23,B273))</x:f>
      </x:c>
      <x:c r="E273" s="37" t="str">
        <x:f>IF(B273="","",C273-D273)</x:f>
      </x:c>
      <x:c r="F273" s="37" t="str">
        <x:f>IF(B273="","",F272+E273)</x:f>
      </x:c>
      <x:c r="G273" s="37" t="str">
        <x:f>IF(OR(B273="",$I$6&lt;&gt;"Complete"),"",SUMIFS($D$32:$D$51,$C$32:$C$51,B273,$I$32:$I$51,"Ready"))</x:f>
      </x:c>
      <x:c r="H273" s="37" t="str">
        <x:f>IF(OR(B273="",$I$6&lt;&gt;"Complete"),"",SUMIFS($E$32:$E$51,$C$32:$C$51,B273,$I$32:$I$51,"Ready"))</x:f>
      </x:c>
      <x:c r="I273" s="37" t="str">
        <x:f>IF(OR(B273="",$I$6&lt;&gt;"Complete"),"",I272+E273+G273-H273)</x:f>
      </x:c>
      <x:c r="J273" s="37" t="str">
        <x:f>IF(OR(B273="",$I$6&lt;&gt;"Complete"),"",'Inputs'!$C$49)</x:f>
      </x:c>
      <x:c r="K273" s="37" t="str">
        <x:f>IF(OR(B273="",$I$6&lt;&gt;"Complete"),"",I273-J273)</x:f>
      </x:c>
      <x:c r="L273" s="61" t="str">
        <x:f>IF(OR(B273="",$I$6&lt;&gt;"Complete"),"",IF(K273&lt;0,1,0))</x:f>
      </x:c>
    </x:row>
    <x:row r="274" ht="23" customHeight="1">
      <x:c r="A274" s="2"/>
      <x:c r="B274" s="60" t="str">
        <x:f>IF($D$6&lt;&gt;"Complete","",IF('Inputs'!$C$47+204&lt;=$D$9,'Inputs'!$C$47+204,""))</x:f>
      </x:c>
      <x:c r="C274" s="37" t="str">
        <x:f>IF(B274="","",SUMIFS($D$14:$D$23,$C$14:$C$23,B274))</x:f>
      </x:c>
      <x:c r="D274" s="37" t="str">
        <x:f>IF(B274="","",SUMIFS($E$14:$E$23,$C$14:$C$23,B274))</x:f>
      </x:c>
      <x:c r="E274" s="37" t="str">
        <x:f>IF(B274="","",C274-D274)</x:f>
      </x:c>
      <x:c r="F274" s="37" t="str">
        <x:f>IF(B274="","",F273+E274)</x:f>
      </x:c>
      <x:c r="G274" s="37" t="str">
        <x:f>IF(OR(B274="",$I$6&lt;&gt;"Complete"),"",SUMIFS($D$32:$D$51,$C$32:$C$51,B274,$I$32:$I$51,"Ready"))</x:f>
      </x:c>
      <x:c r="H274" s="37" t="str">
        <x:f>IF(OR(B274="",$I$6&lt;&gt;"Complete"),"",SUMIFS($E$32:$E$51,$C$32:$C$51,B274,$I$32:$I$51,"Ready"))</x:f>
      </x:c>
      <x:c r="I274" s="37" t="str">
        <x:f>IF(OR(B274="",$I$6&lt;&gt;"Complete"),"",I273+E274+G274-H274)</x:f>
      </x:c>
      <x:c r="J274" s="37" t="str">
        <x:f>IF(OR(B274="",$I$6&lt;&gt;"Complete"),"",'Inputs'!$C$49)</x:f>
      </x:c>
      <x:c r="K274" s="37" t="str">
        <x:f>IF(OR(B274="",$I$6&lt;&gt;"Complete"),"",I274-J274)</x:f>
      </x:c>
      <x:c r="L274" s="61" t="str">
        <x:f>IF(OR(B274="",$I$6&lt;&gt;"Complete"),"",IF(K274&lt;0,1,0))</x:f>
      </x:c>
    </x:row>
    <x:row r="275" ht="23" customHeight="1">
      <x:c r="A275" s="2"/>
      <x:c r="B275" s="60" t="str">
        <x:f>IF($D$6&lt;&gt;"Complete","",IF('Inputs'!$C$47+205&lt;=$D$9,'Inputs'!$C$47+205,""))</x:f>
      </x:c>
      <x:c r="C275" s="37" t="str">
        <x:f>IF(B275="","",SUMIFS($D$14:$D$23,$C$14:$C$23,B275))</x:f>
      </x:c>
      <x:c r="D275" s="37" t="str">
        <x:f>IF(B275="","",SUMIFS($E$14:$E$23,$C$14:$C$23,B275))</x:f>
      </x:c>
      <x:c r="E275" s="37" t="str">
        <x:f>IF(B275="","",C275-D275)</x:f>
      </x:c>
      <x:c r="F275" s="37" t="str">
        <x:f>IF(B275="","",F274+E275)</x:f>
      </x:c>
      <x:c r="G275" s="37" t="str">
        <x:f>IF(OR(B275="",$I$6&lt;&gt;"Complete"),"",SUMIFS($D$32:$D$51,$C$32:$C$51,B275,$I$32:$I$51,"Ready"))</x:f>
      </x:c>
      <x:c r="H275" s="37" t="str">
        <x:f>IF(OR(B275="",$I$6&lt;&gt;"Complete"),"",SUMIFS($E$32:$E$51,$C$32:$C$51,B275,$I$32:$I$51,"Ready"))</x:f>
      </x:c>
      <x:c r="I275" s="37" t="str">
        <x:f>IF(OR(B275="",$I$6&lt;&gt;"Complete"),"",I274+E275+G275-H275)</x:f>
      </x:c>
      <x:c r="J275" s="37" t="str">
        <x:f>IF(OR(B275="",$I$6&lt;&gt;"Complete"),"",'Inputs'!$C$49)</x:f>
      </x:c>
      <x:c r="K275" s="37" t="str">
        <x:f>IF(OR(B275="",$I$6&lt;&gt;"Complete"),"",I275-J275)</x:f>
      </x:c>
      <x:c r="L275" s="61" t="str">
        <x:f>IF(OR(B275="",$I$6&lt;&gt;"Complete"),"",IF(K275&lt;0,1,0))</x:f>
      </x:c>
    </x:row>
    <x:row r="276" ht="23" customHeight="1">
      <x:c r="A276" s="2"/>
      <x:c r="B276" s="60" t="str">
        <x:f>IF($D$6&lt;&gt;"Complete","",IF('Inputs'!$C$47+206&lt;=$D$9,'Inputs'!$C$47+206,""))</x:f>
      </x:c>
      <x:c r="C276" s="37" t="str">
        <x:f>IF(B276="","",SUMIFS($D$14:$D$23,$C$14:$C$23,B276))</x:f>
      </x:c>
      <x:c r="D276" s="37" t="str">
        <x:f>IF(B276="","",SUMIFS($E$14:$E$23,$C$14:$C$23,B276))</x:f>
      </x:c>
      <x:c r="E276" s="37" t="str">
        <x:f>IF(B276="","",C276-D276)</x:f>
      </x:c>
      <x:c r="F276" s="37" t="str">
        <x:f>IF(B276="","",F275+E276)</x:f>
      </x:c>
      <x:c r="G276" s="37" t="str">
        <x:f>IF(OR(B276="",$I$6&lt;&gt;"Complete"),"",SUMIFS($D$32:$D$51,$C$32:$C$51,B276,$I$32:$I$51,"Ready"))</x:f>
      </x:c>
      <x:c r="H276" s="37" t="str">
        <x:f>IF(OR(B276="",$I$6&lt;&gt;"Complete"),"",SUMIFS($E$32:$E$51,$C$32:$C$51,B276,$I$32:$I$51,"Ready"))</x:f>
      </x:c>
      <x:c r="I276" s="37" t="str">
        <x:f>IF(OR(B276="",$I$6&lt;&gt;"Complete"),"",I275+E276+G276-H276)</x:f>
      </x:c>
      <x:c r="J276" s="37" t="str">
        <x:f>IF(OR(B276="",$I$6&lt;&gt;"Complete"),"",'Inputs'!$C$49)</x:f>
      </x:c>
      <x:c r="K276" s="37" t="str">
        <x:f>IF(OR(B276="",$I$6&lt;&gt;"Complete"),"",I276-J276)</x:f>
      </x:c>
      <x:c r="L276" s="61" t="str">
        <x:f>IF(OR(B276="",$I$6&lt;&gt;"Complete"),"",IF(K276&lt;0,1,0))</x:f>
      </x:c>
    </x:row>
    <x:row r="277" ht="23" customHeight="1">
      <x:c r="A277" s="2"/>
      <x:c r="B277" s="60" t="str">
        <x:f>IF($D$6&lt;&gt;"Complete","",IF('Inputs'!$C$47+207&lt;=$D$9,'Inputs'!$C$47+207,""))</x:f>
      </x:c>
      <x:c r="C277" s="37" t="str">
        <x:f>IF(B277="","",SUMIFS($D$14:$D$23,$C$14:$C$23,B277))</x:f>
      </x:c>
      <x:c r="D277" s="37" t="str">
        <x:f>IF(B277="","",SUMIFS($E$14:$E$23,$C$14:$C$23,B277))</x:f>
      </x:c>
      <x:c r="E277" s="37" t="str">
        <x:f>IF(B277="","",C277-D277)</x:f>
      </x:c>
      <x:c r="F277" s="37" t="str">
        <x:f>IF(B277="","",F276+E277)</x:f>
      </x:c>
      <x:c r="G277" s="37" t="str">
        <x:f>IF(OR(B277="",$I$6&lt;&gt;"Complete"),"",SUMIFS($D$32:$D$51,$C$32:$C$51,B277,$I$32:$I$51,"Ready"))</x:f>
      </x:c>
      <x:c r="H277" s="37" t="str">
        <x:f>IF(OR(B277="",$I$6&lt;&gt;"Complete"),"",SUMIFS($E$32:$E$51,$C$32:$C$51,B277,$I$32:$I$51,"Ready"))</x:f>
      </x:c>
      <x:c r="I277" s="37" t="str">
        <x:f>IF(OR(B277="",$I$6&lt;&gt;"Complete"),"",I276+E277+G277-H277)</x:f>
      </x:c>
      <x:c r="J277" s="37" t="str">
        <x:f>IF(OR(B277="",$I$6&lt;&gt;"Complete"),"",'Inputs'!$C$49)</x:f>
      </x:c>
      <x:c r="K277" s="37" t="str">
        <x:f>IF(OR(B277="",$I$6&lt;&gt;"Complete"),"",I277-J277)</x:f>
      </x:c>
      <x:c r="L277" s="61" t="str">
        <x:f>IF(OR(B277="",$I$6&lt;&gt;"Complete"),"",IF(K277&lt;0,1,0))</x:f>
      </x:c>
    </x:row>
    <x:row r="278" ht="23" customHeight="1">
      <x:c r="A278" s="2"/>
      <x:c r="B278" s="60" t="str">
        <x:f>IF($D$6&lt;&gt;"Complete","",IF('Inputs'!$C$47+208&lt;=$D$9,'Inputs'!$C$47+208,""))</x:f>
      </x:c>
      <x:c r="C278" s="37" t="str">
        <x:f>IF(B278="","",SUMIFS($D$14:$D$23,$C$14:$C$23,B278))</x:f>
      </x:c>
      <x:c r="D278" s="37" t="str">
        <x:f>IF(B278="","",SUMIFS($E$14:$E$23,$C$14:$C$23,B278))</x:f>
      </x:c>
      <x:c r="E278" s="37" t="str">
        <x:f>IF(B278="","",C278-D278)</x:f>
      </x:c>
      <x:c r="F278" s="37" t="str">
        <x:f>IF(B278="","",F277+E278)</x:f>
      </x:c>
      <x:c r="G278" s="37" t="str">
        <x:f>IF(OR(B278="",$I$6&lt;&gt;"Complete"),"",SUMIFS($D$32:$D$51,$C$32:$C$51,B278,$I$32:$I$51,"Ready"))</x:f>
      </x:c>
      <x:c r="H278" s="37" t="str">
        <x:f>IF(OR(B278="",$I$6&lt;&gt;"Complete"),"",SUMIFS($E$32:$E$51,$C$32:$C$51,B278,$I$32:$I$51,"Ready"))</x:f>
      </x:c>
      <x:c r="I278" s="37" t="str">
        <x:f>IF(OR(B278="",$I$6&lt;&gt;"Complete"),"",I277+E278+G278-H278)</x:f>
      </x:c>
      <x:c r="J278" s="37" t="str">
        <x:f>IF(OR(B278="",$I$6&lt;&gt;"Complete"),"",'Inputs'!$C$49)</x:f>
      </x:c>
      <x:c r="K278" s="37" t="str">
        <x:f>IF(OR(B278="",$I$6&lt;&gt;"Complete"),"",I278-J278)</x:f>
      </x:c>
      <x:c r="L278" s="61" t="str">
        <x:f>IF(OR(B278="",$I$6&lt;&gt;"Complete"),"",IF(K278&lt;0,1,0))</x:f>
      </x:c>
    </x:row>
    <x:row r="279" ht="23" customHeight="1">
      <x:c r="A279" s="2"/>
      <x:c r="B279" s="60" t="str">
        <x:f>IF($D$6&lt;&gt;"Complete","",IF('Inputs'!$C$47+209&lt;=$D$9,'Inputs'!$C$47+209,""))</x:f>
      </x:c>
      <x:c r="C279" s="37" t="str">
        <x:f>IF(B279="","",SUMIFS($D$14:$D$23,$C$14:$C$23,B279))</x:f>
      </x:c>
      <x:c r="D279" s="37" t="str">
        <x:f>IF(B279="","",SUMIFS($E$14:$E$23,$C$14:$C$23,B279))</x:f>
      </x:c>
      <x:c r="E279" s="37" t="str">
        <x:f>IF(B279="","",C279-D279)</x:f>
      </x:c>
      <x:c r="F279" s="37" t="str">
        <x:f>IF(B279="","",F278+E279)</x:f>
      </x:c>
      <x:c r="G279" s="37" t="str">
        <x:f>IF(OR(B279="",$I$6&lt;&gt;"Complete"),"",SUMIFS($D$32:$D$51,$C$32:$C$51,B279,$I$32:$I$51,"Ready"))</x:f>
      </x:c>
      <x:c r="H279" s="37" t="str">
        <x:f>IF(OR(B279="",$I$6&lt;&gt;"Complete"),"",SUMIFS($E$32:$E$51,$C$32:$C$51,B279,$I$32:$I$51,"Ready"))</x:f>
      </x:c>
      <x:c r="I279" s="37" t="str">
        <x:f>IF(OR(B279="",$I$6&lt;&gt;"Complete"),"",I278+E279+G279-H279)</x:f>
      </x:c>
      <x:c r="J279" s="37" t="str">
        <x:f>IF(OR(B279="",$I$6&lt;&gt;"Complete"),"",'Inputs'!$C$49)</x:f>
      </x:c>
      <x:c r="K279" s="37" t="str">
        <x:f>IF(OR(B279="",$I$6&lt;&gt;"Complete"),"",I279-J279)</x:f>
      </x:c>
      <x:c r="L279" s="61" t="str">
        <x:f>IF(OR(B279="",$I$6&lt;&gt;"Complete"),"",IF(K279&lt;0,1,0))</x:f>
      </x:c>
    </x:row>
    <x:row r="280" ht="23" customHeight="1">
      <x:c r="A280" s="2"/>
      <x:c r="B280" s="60" t="str">
        <x:f>IF($D$6&lt;&gt;"Complete","",IF('Inputs'!$C$47+210&lt;=$D$9,'Inputs'!$C$47+210,""))</x:f>
      </x:c>
      <x:c r="C280" s="37" t="str">
        <x:f>IF(B280="","",SUMIFS($D$14:$D$23,$C$14:$C$23,B280))</x:f>
      </x:c>
      <x:c r="D280" s="37" t="str">
        <x:f>IF(B280="","",SUMIFS($E$14:$E$23,$C$14:$C$23,B280))</x:f>
      </x:c>
      <x:c r="E280" s="37" t="str">
        <x:f>IF(B280="","",C280-D280)</x:f>
      </x:c>
      <x:c r="F280" s="37" t="str">
        <x:f>IF(B280="","",F279+E280)</x:f>
      </x:c>
      <x:c r="G280" s="37" t="str">
        <x:f>IF(OR(B280="",$I$6&lt;&gt;"Complete"),"",SUMIFS($D$32:$D$51,$C$32:$C$51,B280,$I$32:$I$51,"Ready"))</x:f>
      </x:c>
      <x:c r="H280" s="37" t="str">
        <x:f>IF(OR(B280="",$I$6&lt;&gt;"Complete"),"",SUMIFS($E$32:$E$51,$C$32:$C$51,B280,$I$32:$I$51,"Ready"))</x:f>
      </x:c>
      <x:c r="I280" s="37" t="str">
        <x:f>IF(OR(B280="",$I$6&lt;&gt;"Complete"),"",I279+E280+G280-H280)</x:f>
      </x:c>
      <x:c r="J280" s="37" t="str">
        <x:f>IF(OR(B280="",$I$6&lt;&gt;"Complete"),"",'Inputs'!$C$49)</x:f>
      </x:c>
      <x:c r="K280" s="37" t="str">
        <x:f>IF(OR(B280="",$I$6&lt;&gt;"Complete"),"",I280-J280)</x:f>
      </x:c>
      <x:c r="L280" s="61" t="str">
        <x:f>IF(OR(B280="",$I$6&lt;&gt;"Complete"),"",IF(K280&lt;0,1,0))</x:f>
      </x:c>
    </x:row>
    <x:row r="281" ht="23" customHeight="1">
      <x:c r="A281" s="2"/>
      <x:c r="B281" s="60" t="str">
        <x:f>IF($D$6&lt;&gt;"Complete","",IF('Inputs'!$C$47+211&lt;=$D$9,'Inputs'!$C$47+211,""))</x:f>
      </x:c>
      <x:c r="C281" s="37" t="str">
        <x:f>IF(B281="","",SUMIFS($D$14:$D$23,$C$14:$C$23,B281))</x:f>
      </x:c>
      <x:c r="D281" s="37" t="str">
        <x:f>IF(B281="","",SUMIFS($E$14:$E$23,$C$14:$C$23,B281))</x:f>
      </x:c>
      <x:c r="E281" s="37" t="str">
        <x:f>IF(B281="","",C281-D281)</x:f>
      </x:c>
      <x:c r="F281" s="37" t="str">
        <x:f>IF(B281="","",F280+E281)</x:f>
      </x:c>
      <x:c r="G281" s="37" t="str">
        <x:f>IF(OR(B281="",$I$6&lt;&gt;"Complete"),"",SUMIFS($D$32:$D$51,$C$32:$C$51,B281,$I$32:$I$51,"Ready"))</x:f>
      </x:c>
      <x:c r="H281" s="37" t="str">
        <x:f>IF(OR(B281="",$I$6&lt;&gt;"Complete"),"",SUMIFS($E$32:$E$51,$C$32:$C$51,B281,$I$32:$I$51,"Ready"))</x:f>
      </x:c>
      <x:c r="I281" s="37" t="str">
        <x:f>IF(OR(B281="",$I$6&lt;&gt;"Complete"),"",I280+E281+G281-H281)</x:f>
      </x:c>
      <x:c r="J281" s="37" t="str">
        <x:f>IF(OR(B281="",$I$6&lt;&gt;"Complete"),"",'Inputs'!$C$49)</x:f>
      </x:c>
      <x:c r="K281" s="37" t="str">
        <x:f>IF(OR(B281="",$I$6&lt;&gt;"Complete"),"",I281-J281)</x:f>
      </x:c>
      <x:c r="L281" s="61" t="str">
        <x:f>IF(OR(B281="",$I$6&lt;&gt;"Complete"),"",IF(K281&lt;0,1,0))</x:f>
      </x:c>
    </x:row>
    <x:row r="282" ht="23" customHeight="1">
      <x:c r="A282" s="2"/>
      <x:c r="B282" s="60" t="str">
        <x:f>IF($D$6&lt;&gt;"Complete","",IF('Inputs'!$C$47+212&lt;=$D$9,'Inputs'!$C$47+212,""))</x:f>
      </x:c>
      <x:c r="C282" s="37" t="str">
        <x:f>IF(B282="","",SUMIFS($D$14:$D$23,$C$14:$C$23,B282))</x:f>
      </x:c>
      <x:c r="D282" s="37" t="str">
        <x:f>IF(B282="","",SUMIFS($E$14:$E$23,$C$14:$C$23,B282))</x:f>
      </x:c>
      <x:c r="E282" s="37" t="str">
        <x:f>IF(B282="","",C282-D282)</x:f>
      </x:c>
      <x:c r="F282" s="37" t="str">
        <x:f>IF(B282="","",F281+E282)</x:f>
      </x:c>
      <x:c r="G282" s="37" t="str">
        <x:f>IF(OR(B282="",$I$6&lt;&gt;"Complete"),"",SUMIFS($D$32:$D$51,$C$32:$C$51,B282,$I$32:$I$51,"Ready"))</x:f>
      </x:c>
      <x:c r="H282" s="37" t="str">
        <x:f>IF(OR(B282="",$I$6&lt;&gt;"Complete"),"",SUMIFS($E$32:$E$51,$C$32:$C$51,B282,$I$32:$I$51,"Ready"))</x:f>
      </x:c>
      <x:c r="I282" s="37" t="str">
        <x:f>IF(OR(B282="",$I$6&lt;&gt;"Complete"),"",I281+E282+G282-H282)</x:f>
      </x:c>
      <x:c r="J282" s="37" t="str">
        <x:f>IF(OR(B282="",$I$6&lt;&gt;"Complete"),"",'Inputs'!$C$49)</x:f>
      </x:c>
      <x:c r="K282" s="37" t="str">
        <x:f>IF(OR(B282="",$I$6&lt;&gt;"Complete"),"",I282-J282)</x:f>
      </x:c>
      <x:c r="L282" s="61" t="str">
        <x:f>IF(OR(B282="",$I$6&lt;&gt;"Complete"),"",IF(K282&lt;0,1,0))</x:f>
      </x:c>
    </x:row>
    <x:row r="283" ht="23" customHeight="1">
      <x:c r="A283" s="2"/>
      <x:c r="B283" s="60" t="str">
        <x:f>IF($D$6&lt;&gt;"Complete","",IF('Inputs'!$C$47+213&lt;=$D$9,'Inputs'!$C$47+213,""))</x:f>
      </x:c>
      <x:c r="C283" s="37" t="str">
        <x:f>IF(B283="","",SUMIFS($D$14:$D$23,$C$14:$C$23,B283))</x:f>
      </x:c>
      <x:c r="D283" s="37" t="str">
        <x:f>IF(B283="","",SUMIFS($E$14:$E$23,$C$14:$C$23,B283))</x:f>
      </x:c>
      <x:c r="E283" s="37" t="str">
        <x:f>IF(B283="","",C283-D283)</x:f>
      </x:c>
      <x:c r="F283" s="37" t="str">
        <x:f>IF(B283="","",F282+E283)</x:f>
      </x:c>
      <x:c r="G283" s="37" t="str">
        <x:f>IF(OR(B283="",$I$6&lt;&gt;"Complete"),"",SUMIFS($D$32:$D$51,$C$32:$C$51,B283,$I$32:$I$51,"Ready"))</x:f>
      </x:c>
      <x:c r="H283" s="37" t="str">
        <x:f>IF(OR(B283="",$I$6&lt;&gt;"Complete"),"",SUMIFS($E$32:$E$51,$C$32:$C$51,B283,$I$32:$I$51,"Ready"))</x:f>
      </x:c>
      <x:c r="I283" s="37" t="str">
        <x:f>IF(OR(B283="",$I$6&lt;&gt;"Complete"),"",I282+E283+G283-H283)</x:f>
      </x:c>
      <x:c r="J283" s="37" t="str">
        <x:f>IF(OR(B283="",$I$6&lt;&gt;"Complete"),"",'Inputs'!$C$49)</x:f>
      </x:c>
      <x:c r="K283" s="37" t="str">
        <x:f>IF(OR(B283="",$I$6&lt;&gt;"Complete"),"",I283-J283)</x:f>
      </x:c>
      <x:c r="L283" s="61" t="str">
        <x:f>IF(OR(B283="",$I$6&lt;&gt;"Complete"),"",IF(K283&lt;0,1,0))</x:f>
      </x:c>
    </x:row>
    <x:row r="284" ht="23" customHeight="1">
      <x:c r="A284" s="2"/>
      <x:c r="B284" s="60" t="str">
        <x:f>IF($D$6&lt;&gt;"Complete","",IF('Inputs'!$C$47+214&lt;=$D$9,'Inputs'!$C$47+214,""))</x:f>
      </x:c>
      <x:c r="C284" s="37" t="str">
        <x:f>IF(B284="","",SUMIFS($D$14:$D$23,$C$14:$C$23,B284))</x:f>
      </x:c>
      <x:c r="D284" s="37" t="str">
        <x:f>IF(B284="","",SUMIFS($E$14:$E$23,$C$14:$C$23,B284))</x:f>
      </x:c>
      <x:c r="E284" s="37" t="str">
        <x:f>IF(B284="","",C284-D284)</x:f>
      </x:c>
      <x:c r="F284" s="37" t="str">
        <x:f>IF(B284="","",F283+E284)</x:f>
      </x:c>
      <x:c r="G284" s="37" t="str">
        <x:f>IF(OR(B284="",$I$6&lt;&gt;"Complete"),"",SUMIFS($D$32:$D$51,$C$32:$C$51,B284,$I$32:$I$51,"Ready"))</x:f>
      </x:c>
      <x:c r="H284" s="37" t="str">
        <x:f>IF(OR(B284="",$I$6&lt;&gt;"Complete"),"",SUMIFS($E$32:$E$51,$C$32:$C$51,B284,$I$32:$I$51,"Ready"))</x:f>
      </x:c>
      <x:c r="I284" s="37" t="str">
        <x:f>IF(OR(B284="",$I$6&lt;&gt;"Complete"),"",I283+E284+G284-H284)</x:f>
      </x:c>
      <x:c r="J284" s="37" t="str">
        <x:f>IF(OR(B284="",$I$6&lt;&gt;"Complete"),"",'Inputs'!$C$49)</x:f>
      </x:c>
      <x:c r="K284" s="37" t="str">
        <x:f>IF(OR(B284="",$I$6&lt;&gt;"Complete"),"",I284-J284)</x:f>
      </x:c>
      <x:c r="L284" s="61" t="str">
        <x:f>IF(OR(B284="",$I$6&lt;&gt;"Complete"),"",IF(K284&lt;0,1,0))</x:f>
      </x:c>
    </x:row>
    <x:row r="285" ht="23" customHeight="1">
      <x:c r="A285" s="2"/>
      <x:c r="B285" s="60" t="str">
        <x:f>IF($D$6&lt;&gt;"Complete","",IF('Inputs'!$C$47+215&lt;=$D$9,'Inputs'!$C$47+215,""))</x:f>
      </x:c>
      <x:c r="C285" s="37" t="str">
        <x:f>IF(B285="","",SUMIFS($D$14:$D$23,$C$14:$C$23,B285))</x:f>
      </x:c>
      <x:c r="D285" s="37" t="str">
        <x:f>IF(B285="","",SUMIFS($E$14:$E$23,$C$14:$C$23,B285))</x:f>
      </x:c>
      <x:c r="E285" s="37" t="str">
        <x:f>IF(B285="","",C285-D285)</x:f>
      </x:c>
      <x:c r="F285" s="37" t="str">
        <x:f>IF(B285="","",F284+E285)</x:f>
      </x:c>
      <x:c r="G285" s="37" t="str">
        <x:f>IF(OR(B285="",$I$6&lt;&gt;"Complete"),"",SUMIFS($D$32:$D$51,$C$32:$C$51,B285,$I$32:$I$51,"Ready"))</x:f>
      </x:c>
      <x:c r="H285" s="37" t="str">
        <x:f>IF(OR(B285="",$I$6&lt;&gt;"Complete"),"",SUMIFS($E$32:$E$51,$C$32:$C$51,B285,$I$32:$I$51,"Ready"))</x:f>
      </x:c>
      <x:c r="I285" s="37" t="str">
        <x:f>IF(OR(B285="",$I$6&lt;&gt;"Complete"),"",I284+E285+G285-H285)</x:f>
      </x:c>
      <x:c r="J285" s="37" t="str">
        <x:f>IF(OR(B285="",$I$6&lt;&gt;"Complete"),"",'Inputs'!$C$49)</x:f>
      </x:c>
      <x:c r="K285" s="37" t="str">
        <x:f>IF(OR(B285="",$I$6&lt;&gt;"Complete"),"",I285-J285)</x:f>
      </x:c>
      <x:c r="L285" s="61" t="str">
        <x:f>IF(OR(B285="",$I$6&lt;&gt;"Complete"),"",IF(K285&lt;0,1,0))</x:f>
      </x:c>
    </x:row>
    <x:row r="286" ht="23" customHeight="1">
      <x:c r="A286" s="2"/>
      <x:c r="B286" s="60" t="str">
        <x:f>IF($D$6&lt;&gt;"Complete","",IF('Inputs'!$C$47+216&lt;=$D$9,'Inputs'!$C$47+216,""))</x:f>
      </x:c>
      <x:c r="C286" s="37" t="str">
        <x:f>IF(B286="","",SUMIFS($D$14:$D$23,$C$14:$C$23,B286))</x:f>
      </x:c>
      <x:c r="D286" s="37" t="str">
        <x:f>IF(B286="","",SUMIFS($E$14:$E$23,$C$14:$C$23,B286))</x:f>
      </x:c>
      <x:c r="E286" s="37" t="str">
        <x:f>IF(B286="","",C286-D286)</x:f>
      </x:c>
      <x:c r="F286" s="37" t="str">
        <x:f>IF(B286="","",F285+E286)</x:f>
      </x:c>
      <x:c r="G286" s="37" t="str">
        <x:f>IF(OR(B286="",$I$6&lt;&gt;"Complete"),"",SUMIFS($D$32:$D$51,$C$32:$C$51,B286,$I$32:$I$51,"Ready"))</x:f>
      </x:c>
      <x:c r="H286" s="37" t="str">
        <x:f>IF(OR(B286="",$I$6&lt;&gt;"Complete"),"",SUMIFS($E$32:$E$51,$C$32:$C$51,B286,$I$32:$I$51,"Ready"))</x:f>
      </x:c>
      <x:c r="I286" s="37" t="str">
        <x:f>IF(OR(B286="",$I$6&lt;&gt;"Complete"),"",I285+E286+G286-H286)</x:f>
      </x:c>
      <x:c r="J286" s="37" t="str">
        <x:f>IF(OR(B286="",$I$6&lt;&gt;"Complete"),"",'Inputs'!$C$49)</x:f>
      </x:c>
      <x:c r="K286" s="37" t="str">
        <x:f>IF(OR(B286="",$I$6&lt;&gt;"Complete"),"",I286-J286)</x:f>
      </x:c>
      <x:c r="L286" s="61" t="str">
        <x:f>IF(OR(B286="",$I$6&lt;&gt;"Complete"),"",IF(K286&lt;0,1,0))</x:f>
      </x:c>
    </x:row>
    <x:row r="287" ht="23" customHeight="1">
      <x:c r="A287" s="2"/>
      <x:c r="B287" s="60" t="str">
        <x:f>IF($D$6&lt;&gt;"Complete","",IF('Inputs'!$C$47+217&lt;=$D$9,'Inputs'!$C$47+217,""))</x:f>
      </x:c>
      <x:c r="C287" s="37" t="str">
        <x:f>IF(B287="","",SUMIFS($D$14:$D$23,$C$14:$C$23,B287))</x:f>
      </x:c>
      <x:c r="D287" s="37" t="str">
        <x:f>IF(B287="","",SUMIFS($E$14:$E$23,$C$14:$C$23,B287))</x:f>
      </x:c>
      <x:c r="E287" s="37" t="str">
        <x:f>IF(B287="","",C287-D287)</x:f>
      </x:c>
      <x:c r="F287" s="37" t="str">
        <x:f>IF(B287="","",F286+E287)</x:f>
      </x:c>
      <x:c r="G287" s="37" t="str">
        <x:f>IF(OR(B287="",$I$6&lt;&gt;"Complete"),"",SUMIFS($D$32:$D$51,$C$32:$C$51,B287,$I$32:$I$51,"Ready"))</x:f>
      </x:c>
      <x:c r="H287" s="37" t="str">
        <x:f>IF(OR(B287="",$I$6&lt;&gt;"Complete"),"",SUMIFS($E$32:$E$51,$C$32:$C$51,B287,$I$32:$I$51,"Ready"))</x:f>
      </x:c>
      <x:c r="I287" s="37" t="str">
        <x:f>IF(OR(B287="",$I$6&lt;&gt;"Complete"),"",I286+E287+G287-H287)</x:f>
      </x:c>
      <x:c r="J287" s="37" t="str">
        <x:f>IF(OR(B287="",$I$6&lt;&gt;"Complete"),"",'Inputs'!$C$49)</x:f>
      </x:c>
      <x:c r="K287" s="37" t="str">
        <x:f>IF(OR(B287="",$I$6&lt;&gt;"Complete"),"",I287-J287)</x:f>
      </x:c>
      <x:c r="L287" s="61" t="str">
        <x:f>IF(OR(B287="",$I$6&lt;&gt;"Complete"),"",IF(K287&lt;0,1,0))</x:f>
      </x:c>
    </x:row>
    <x:row r="288" ht="23" customHeight="1">
      <x:c r="A288" s="2"/>
      <x:c r="B288" s="60" t="str">
        <x:f>IF($D$6&lt;&gt;"Complete","",IF('Inputs'!$C$47+218&lt;=$D$9,'Inputs'!$C$47+218,""))</x:f>
      </x:c>
      <x:c r="C288" s="37" t="str">
        <x:f>IF(B288="","",SUMIFS($D$14:$D$23,$C$14:$C$23,B288))</x:f>
      </x:c>
      <x:c r="D288" s="37" t="str">
        <x:f>IF(B288="","",SUMIFS($E$14:$E$23,$C$14:$C$23,B288))</x:f>
      </x:c>
      <x:c r="E288" s="37" t="str">
        <x:f>IF(B288="","",C288-D288)</x:f>
      </x:c>
      <x:c r="F288" s="37" t="str">
        <x:f>IF(B288="","",F287+E288)</x:f>
      </x:c>
      <x:c r="G288" s="37" t="str">
        <x:f>IF(OR(B288="",$I$6&lt;&gt;"Complete"),"",SUMIFS($D$32:$D$51,$C$32:$C$51,B288,$I$32:$I$51,"Ready"))</x:f>
      </x:c>
      <x:c r="H288" s="37" t="str">
        <x:f>IF(OR(B288="",$I$6&lt;&gt;"Complete"),"",SUMIFS($E$32:$E$51,$C$32:$C$51,B288,$I$32:$I$51,"Ready"))</x:f>
      </x:c>
      <x:c r="I288" s="37" t="str">
        <x:f>IF(OR(B288="",$I$6&lt;&gt;"Complete"),"",I287+E288+G288-H288)</x:f>
      </x:c>
      <x:c r="J288" s="37" t="str">
        <x:f>IF(OR(B288="",$I$6&lt;&gt;"Complete"),"",'Inputs'!$C$49)</x:f>
      </x:c>
      <x:c r="K288" s="37" t="str">
        <x:f>IF(OR(B288="",$I$6&lt;&gt;"Complete"),"",I288-J288)</x:f>
      </x:c>
      <x:c r="L288" s="61" t="str">
        <x:f>IF(OR(B288="",$I$6&lt;&gt;"Complete"),"",IF(K288&lt;0,1,0))</x:f>
      </x:c>
    </x:row>
    <x:row r="289" ht="23" customHeight="1">
      <x:c r="A289" s="2"/>
      <x:c r="B289" s="60" t="str">
        <x:f>IF($D$6&lt;&gt;"Complete","",IF('Inputs'!$C$47+219&lt;=$D$9,'Inputs'!$C$47+219,""))</x:f>
      </x:c>
      <x:c r="C289" s="37" t="str">
        <x:f>IF(B289="","",SUMIFS($D$14:$D$23,$C$14:$C$23,B289))</x:f>
      </x:c>
      <x:c r="D289" s="37" t="str">
        <x:f>IF(B289="","",SUMIFS($E$14:$E$23,$C$14:$C$23,B289))</x:f>
      </x:c>
      <x:c r="E289" s="37" t="str">
        <x:f>IF(B289="","",C289-D289)</x:f>
      </x:c>
      <x:c r="F289" s="37" t="str">
        <x:f>IF(B289="","",F288+E289)</x:f>
      </x:c>
      <x:c r="G289" s="37" t="str">
        <x:f>IF(OR(B289="",$I$6&lt;&gt;"Complete"),"",SUMIFS($D$32:$D$51,$C$32:$C$51,B289,$I$32:$I$51,"Ready"))</x:f>
      </x:c>
      <x:c r="H289" s="37" t="str">
        <x:f>IF(OR(B289="",$I$6&lt;&gt;"Complete"),"",SUMIFS($E$32:$E$51,$C$32:$C$51,B289,$I$32:$I$51,"Ready"))</x:f>
      </x:c>
      <x:c r="I289" s="37" t="str">
        <x:f>IF(OR(B289="",$I$6&lt;&gt;"Complete"),"",I288+E289+G289-H289)</x:f>
      </x:c>
      <x:c r="J289" s="37" t="str">
        <x:f>IF(OR(B289="",$I$6&lt;&gt;"Complete"),"",'Inputs'!$C$49)</x:f>
      </x:c>
      <x:c r="K289" s="37" t="str">
        <x:f>IF(OR(B289="",$I$6&lt;&gt;"Complete"),"",I289-J289)</x:f>
      </x:c>
      <x:c r="L289" s="61" t="str">
        <x:f>IF(OR(B289="",$I$6&lt;&gt;"Complete"),"",IF(K289&lt;0,1,0))</x:f>
      </x:c>
    </x:row>
    <x:row r="290" ht="23" customHeight="1">
      <x:c r="A290" s="2"/>
      <x:c r="B290" s="60" t="str">
        <x:f>IF($D$6&lt;&gt;"Complete","",IF('Inputs'!$C$47+220&lt;=$D$9,'Inputs'!$C$47+220,""))</x:f>
      </x:c>
      <x:c r="C290" s="37" t="str">
        <x:f>IF(B290="","",SUMIFS($D$14:$D$23,$C$14:$C$23,B290))</x:f>
      </x:c>
      <x:c r="D290" s="37" t="str">
        <x:f>IF(B290="","",SUMIFS($E$14:$E$23,$C$14:$C$23,B290))</x:f>
      </x:c>
      <x:c r="E290" s="37" t="str">
        <x:f>IF(B290="","",C290-D290)</x:f>
      </x:c>
      <x:c r="F290" s="37" t="str">
        <x:f>IF(B290="","",F289+E290)</x:f>
      </x:c>
      <x:c r="G290" s="37" t="str">
        <x:f>IF(OR(B290="",$I$6&lt;&gt;"Complete"),"",SUMIFS($D$32:$D$51,$C$32:$C$51,B290,$I$32:$I$51,"Ready"))</x:f>
      </x:c>
      <x:c r="H290" s="37" t="str">
        <x:f>IF(OR(B290="",$I$6&lt;&gt;"Complete"),"",SUMIFS($E$32:$E$51,$C$32:$C$51,B290,$I$32:$I$51,"Ready"))</x:f>
      </x:c>
      <x:c r="I290" s="37" t="str">
        <x:f>IF(OR(B290="",$I$6&lt;&gt;"Complete"),"",I289+E290+G290-H290)</x:f>
      </x:c>
      <x:c r="J290" s="37" t="str">
        <x:f>IF(OR(B290="",$I$6&lt;&gt;"Complete"),"",'Inputs'!$C$49)</x:f>
      </x:c>
      <x:c r="K290" s="37" t="str">
        <x:f>IF(OR(B290="",$I$6&lt;&gt;"Complete"),"",I290-J290)</x:f>
      </x:c>
      <x:c r="L290" s="61" t="str">
        <x:f>IF(OR(B290="",$I$6&lt;&gt;"Complete"),"",IF(K290&lt;0,1,0))</x:f>
      </x:c>
    </x:row>
    <x:row r="291" ht="23" customHeight="1">
      <x:c r="A291" s="2"/>
      <x:c r="B291" s="60" t="str">
        <x:f>IF($D$6&lt;&gt;"Complete","",IF('Inputs'!$C$47+221&lt;=$D$9,'Inputs'!$C$47+221,""))</x:f>
      </x:c>
      <x:c r="C291" s="37" t="str">
        <x:f>IF(B291="","",SUMIFS($D$14:$D$23,$C$14:$C$23,B291))</x:f>
      </x:c>
      <x:c r="D291" s="37" t="str">
        <x:f>IF(B291="","",SUMIFS($E$14:$E$23,$C$14:$C$23,B291))</x:f>
      </x:c>
      <x:c r="E291" s="37" t="str">
        <x:f>IF(B291="","",C291-D291)</x:f>
      </x:c>
      <x:c r="F291" s="37" t="str">
        <x:f>IF(B291="","",F290+E291)</x:f>
      </x:c>
      <x:c r="G291" s="37" t="str">
        <x:f>IF(OR(B291="",$I$6&lt;&gt;"Complete"),"",SUMIFS($D$32:$D$51,$C$32:$C$51,B291,$I$32:$I$51,"Ready"))</x:f>
      </x:c>
      <x:c r="H291" s="37" t="str">
        <x:f>IF(OR(B291="",$I$6&lt;&gt;"Complete"),"",SUMIFS($E$32:$E$51,$C$32:$C$51,B291,$I$32:$I$51,"Ready"))</x:f>
      </x:c>
      <x:c r="I291" s="37" t="str">
        <x:f>IF(OR(B291="",$I$6&lt;&gt;"Complete"),"",I290+E291+G291-H291)</x:f>
      </x:c>
      <x:c r="J291" s="37" t="str">
        <x:f>IF(OR(B291="",$I$6&lt;&gt;"Complete"),"",'Inputs'!$C$49)</x:f>
      </x:c>
      <x:c r="K291" s="37" t="str">
        <x:f>IF(OR(B291="",$I$6&lt;&gt;"Complete"),"",I291-J291)</x:f>
      </x:c>
      <x:c r="L291" s="61" t="str">
        <x:f>IF(OR(B291="",$I$6&lt;&gt;"Complete"),"",IF(K291&lt;0,1,0))</x:f>
      </x:c>
    </x:row>
    <x:row r="292" ht="23" customHeight="1">
      <x:c r="A292" s="2"/>
      <x:c r="B292" s="60" t="str">
        <x:f>IF($D$6&lt;&gt;"Complete","",IF('Inputs'!$C$47+222&lt;=$D$9,'Inputs'!$C$47+222,""))</x:f>
      </x:c>
      <x:c r="C292" s="37" t="str">
        <x:f>IF(B292="","",SUMIFS($D$14:$D$23,$C$14:$C$23,B292))</x:f>
      </x:c>
      <x:c r="D292" s="37" t="str">
        <x:f>IF(B292="","",SUMIFS($E$14:$E$23,$C$14:$C$23,B292))</x:f>
      </x:c>
      <x:c r="E292" s="37" t="str">
        <x:f>IF(B292="","",C292-D292)</x:f>
      </x:c>
      <x:c r="F292" s="37" t="str">
        <x:f>IF(B292="","",F291+E292)</x:f>
      </x:c>
      <x:c r="G292" s="37" t="str">
        <x:f>IF(OR(B292="",$I$6&lt;&gt;"Complete"),"",SUMIFS($D$32:$D$51,$C$32:$C$51,B292,$I$32:$I$51,"Ready"))</x:f>
      </x:c>
      <x:c r="H292" s="37" t="str">
        <x:f>IF(OR(B292="",$I$6&lt;&gt;"Complete"),"",SUMIFS($E$32:$E$51,$C$32:$C$51,B292,$I$32:$I$51,"Ready"))</x:f>
      </x:c>
      <x:c r="I292" s="37" t="str">
        <x:f>IF(OR(B292="",$I$6&lt;&gt;"Complete"),"",I291+E292+G292-H292)</x:f>
      </x:c>
      <x:c r="J292" s="37" t="str">
        <x:f>IF(OR(B292="",$I$6&lt;&gt;"Complete"),"",'Inputs'!$C$49)</x:f>
      </x:c>
      <x:c r="K292" s="37" t="str">
        <x:f>IF(OR(B292="",$I$6&lt;&gt;"Complete"),"",I292-J292)</x:f>
      </x:c>
      <x:c r="L292" s="61" t="str">
        <x:f>IF(OR(B292="",$I$6&lt;&gt;"Complete"),"",IF(K292&lt;0,1,0))</x:f>
      </x:c>
    </x:row>
    <x:row r="293" ht="23" customHeight="1">
      <x:c r="A293" s="2"/>
      <x:c r="B293" s="60" t="str">
        <x:f>IF($D$6&lt;&gt;"Complete","",IF('Inputs'!$C$47+223&lt;=$D$9,'Inputs'!$C$47+223,""))</x:f>
      </x:c>
      <x:c r="C293" s="37" t="str">
        <x:f>IF(B293="","",SUMIFS($D$14:$D$23,$C$14:$C$23,B293))</x:f>
      </x:c>
      <x:c r="D293" s="37" t="str">
        <x:f>IF(B293="","",SUMIFS($E$14:$E$23,$C$14:$C$23,B293))</x:f>
      </x:c>
      <x:c r="E293" s="37" t="str">
        <x:f>IF(B293="","",C293-D293)</x:f>
      </x:c>
      <x:c r="F293" s="37" t="str">
        <x:f>IF(B293="","",F292+E293)</x:f>
      </x:c>
      <x:c r="G293" s="37" t="str">
        <x:f>IF(OR(B293="",$I$6&lt;&gt;"Complete"),"",SUMIFS($D$32:$D$51,$C$32:$C$51,B293,$I$32:$I$51,"Ready"))</x:f>
      </x:c>
      <x:c r="H293" s="37" t="str">
        <x:f>IF(OR(B293="",$I$6&lt;&gt;"Complete"),"",SUMIFS($E$32:$E$51,$C$32:$C$51,B293,$I$32:$I$51,"Ready"))</x:f>
      </x:c>
      <x:c r="I293" s="37" t="str">
        <x:f>IF(OR(B293="",$I$6&lt;&gt;"Complete"),"",I292+E293+G293-H293)</x:f>
      </x:c>
      <x:c r="J293" s="37" t="str">
        <x:f>IF(OR(B293="",$I$6&lt;&gt;"Complete"),"",'Inputs'!$C$49)</x:f>
      </x:c>
      <x:c r="K293" s="37" t="str">
        <x:f>IF(OR(B293="",$I$6&lt;&gt;"Complete"),"",I293-J293)</x:f>
      </x:c>
      <x:c r="L293" s="61" t="str">
        <x:f>IF(OR(B293="",$I$6&lt;&gt;"Complete"),"",IF(K293&lt;0,1,0))</x:f>
      </x:c>
    </x:row>
    <x:row r="294" ht="23" customHeight="1">
      <x:c r="A294" s="2"/>
      <x:c r="B294" s="60" t="str">
        <x:f>IF($D$6&lt;&gt;"Complete","",IF('Inputs'!$C$47+224&lt;=$D$9,'Inputs'!$C$47+224,""))</x:f>
      </x:c>
      <x:c r="C294" s="37" t="str">
        <x:f>IF(B294="","",SUMIFS($D$14:$D$23,$C$14:$C$23,B294))</x:f>
      </x:c>
      <x:c r="D294" s="37" t="str">
        <x:f>IF(B294="","",SUMIFS($E$14:$E$23,$C$14:$C$23,B294))</x:f>
      </x:c>
      <x:c r="E294" s="37" t="str">
        <x:f>IF(B294="","",C294-D294)</x:f>
      </x:c>
      <x:c r="F294" s="37" t="str">
        <x:f>IF(B294="","",F293+E294)</x:f>
      </x:c>
      <x:c r="G294" s="37" t="str">
        <x:f>IF(OR(B294="",$I$6&lt;&gt;"Complete"),"",SUMIFS($D$32:$D$51,$C$32:$C$51,B294,$I$32:$I$51,"Ready"))</x:f>
      </x:c>
      <x:c r="H294" s="37" t="str">
        <x:f>IF(OR(B294="",$I$6&lt;&gt;"Complete"),"",SUMIFS($E$32:$E$51,$C$32:$C$51,B294,$I$32:$I$51,"Ready"))</x:f>
      </x:c>
      <x:c r="I294" s="37" t="str">
        <x:f>IF(OR(B294="",$I$6&lt;&gt;"Complete"),"",I293+E294+G294-H294)</x:f>
      </x:c>
      <x:c r="J294" s="37" t="str">
        <x:f>IF(OR(B294="",$I$6&lt;&gt;"Complete"),"",'Inputs'!$C$49)</x:f>
      </x:c>
      <x:c r="K294" s="37" t="str">
        <x:f>IF(OR(B294="",$I$6&lt;&gt;"Complete"),"",I294-J294)</x:f>
      </x:c>
      <x:c r="L294" s="61" t="str">
        <x:f>IF(OR(B294="",$I$6&lt;&gt;"Complete"),"",IF(K294&lt;0,1,0))</x:f>
      </x:c>
    </x:row>
    <x:row r="295" ht="23" customHeight="1">
      <x:c r="A295" s="2"/>
      <x:c r="B295" s="60" t="str">
        <x:f>IF($D$6&lt;&gt;"Complete","",IF('Inputs'!$C$47+225&lt;=$D$9,'Inputs'!$C$47+225,""))</x:f>
      </x:c>
      <x:c r="C295" s="37" t="str">
        <x:f>IF(B295="","",SUMIFS($D$14:$D$23,$C$14:$C$23,B295))</x:f>
      </x:c>
      <x:c r="D295" s="37" t="str">
        <x:f>IF(B295="","",SUMIFS($E$14:$E$23,$C$14:$C$23,B295))</x:f>
      </x:c>
      <x:c r="E295" s="37" t="str">
        <x:f>IF(B295="","",C295-D295)</x:f>
      </x:c>
      <x:c r="F295" s="37" t="str">
        <x:f>IF(B295="","",F294+E295)</x:f>
      </x:c>
      <x:c r="G295" s="37" t="str">
        <x:f>IF(OR(B295="",$I$6&lt;&gt;"Complete"),"",SUMIFS($D$32:$D$51,$C$32:$C$51,B295,$I$32:$I$51,"Ready"))</x:f>
      </x:c>
      <x:c r="H295" s="37" t="str">
        <x:f>IF(OR(B295="",$I$6&lt;&gt;"Complete"),"",SUMIFS($E$32:$E$51,$C$32:$C$51,B295,$I$32:$I$51,"Ready"))</x:f>
      </x:c>
      <x:c r="I295" s="37" t="str">
        <x:f>IF(OR(B295="",$I$6&lt;&gt;"Complete"),"",I294+E295+G295-H295)</x:f>
      </x:c>
      <x:c r="J295" s="37" t="str">
        <x:f>IF(OR(B295="",$I$6&lt;&gt;"Complete"),"",'Inputs'!$C$49)</x:f>
      </x:c>
      <x:c r="K295" s="37" t="str">
        <x:f>IF(OR(B295="",$I$6&lt;&gt;"Complete"),"",I295-J295)</x:f>
      </x:c>
      <x:c r="L295" s="61" t="str">
        <x:f>IF(OR(B295="",$I$6&lt;&gt;"Complete"),"",IF(K295&lt;0,1,0))</x:f>
      </x:c>
    </x:row>
    <x:row r="296" ht="23" customHeight="1">
      <x:c r="A296" s="2"/>
      <x:c r="B296" s="60" t="str">
        <x:f>IF($D$6&lt;&gt;"Complete","",IF('Inputs'!$C$47+226&lt;=$D$9,'Inputs'!$C$47+226,""))</x:f>
      </x:c>
      <x:c r="C296" s="37" t="str">
        <x:f>IF(B296="","",SUMIFS($D$14:$D$23,$C$14:$C$23,B296))</x:f>
      </x:c>
      <x:c r="D296" s="37" t="str">
        <x:f>IF(B296="","",SUMIFS($E$14:$E$23,$C$14:$C$23,B296))</x:f>
      </x:c>
      <x:c r="E296" s="37" t="str">
        <x:f>IF(B296="","",C296-D296)</x:f>
      </x:c>
      <x:c r="F296" s="37" t="str">
        <x:f>IF(B296="","",F295+E296)</x:f>
      </x:c>
      <x:c r="G296" s="37" t="str">
        <x:f>IF(OR(B296="",$I$6&lt;&gt;"Complete"),"",SUMIFS($D$32:$D$51,$C$32:$C$51,B296,$I$32:$I$51,"Ready"))</x:f>
      </x:c>
      <x:c r="H296" s="37" t="str">
        <x:f>IF(OR(B296="",$I$6&lt;&gt;"Complete"),"",SUMIFS($E$32:$E$51,$C$32:$C$51,B296,$I$32:$I$51,"Ready"))</x:f>
      </x:c>
      <x:c r="I296" s="37" t="str">
        <x:f>IF(OR(B296="",$I$6&lt;&gt;"Complete"),"",I295+E296+G296-H296)</x:f>
      </x:c>
      <x:c r="J296" s="37" t="str">
        <x:f>IF(OR(B296="",$I$6&lt;&gt;"Complete"),"",'Inputs'!$C$49)</x:f>
      </x:c>
      <x:c r="K296" s="37" t="str">
        <x:f>IF(OR(B296="",$I$6&lt;&gt;"Complete"),"",I296-J296)</x:f>
      </x:c>
      <x:c r="L296" s="61" t="str">
        <x:f>IF(OR(B296="",$I$6&lt;&gt;"Complete"),"",IF(K296&lt;0,1,0))</x:f>
      </x:c>
    </x:row>
    <x:row r="297" ht="23" customHeight="1">
      <x:c r="A297" s="2"/>
      <x:c r="B297" s="60" t="str">
        <x:f>IF($D$6&lt;&gt;"Complete","",IF('Inputs'!$C$47+227&lt;=$D$9,'Inputs'!$C$47+227,""))</x:f>
      </x:c>
      <x:c r="C297" s="37" t="str">
        <x:f>IF(B297="","",SUMIFS($D$14:$D$23,$C$14:$C$23,B297))</x:f>
      </x:c>
      <x:c r="D297" s="37" t="str">
        <x:f>IF(B297="","",SUMIFS($E$14:$E$23,$C$14:$C$23,B297))</x:f>
      </x:c>
      <x:c r="E297" s="37" t="str">
        <x:f>IF(B297="","",C297-D297)</x:f>
      </x:c>
      <x:c r="F297" s="37" t="str">
        <x:f>IF(B297="","",F296+E297)</x:f>
      </x:c>
      <x:c r="G297" s="37" t="str">
        <x:f>IF(OR(B297="",$I$6&lt;&gt;"Complete"),"",SUMIFS($D$32:$D$51,$C$32:$C$51,B297,$I$32:$I$51,"Ready"))</x:f>
      </x:c>
      <x:c r="H297" s="37" t="str">
        <x:f>IF(OR(B297="",$I$6&lt;&gt;"Complete"),"",SUMIFS($E$32:$E$51,$C$32:$C$51,B297,$I$32:$I$51,"Ready"))</x:f>
      </x:c>
      <x:c r="I297" s="37" t="str">
        <x:f>IF(OR(B297="",$I$6&lt;&gt;"Complete"),"",I296+E297+G297-H297)</x:f>
      </x:c>
      <x:c r="J297" s="37" t="str">
        <x:f>IF(OR(B297="",$I$6&lt;&gt;"Complete"),"",'Inputs'!$C$49)</x:f>
      </x:c>
      <x:c r="K297" s="37" t="str">
        <x:f>IF(OR(B297="",$I$6&lt;&gt;"Complete"),"",I297-J297)</x:f>
      </x:c>
      <x:c r="L297" s="61" t="str">
        <x:f>IF(OR(B297="",$I$6&lt;&gt;"Complete"),"",IF(K297&lt;0,1,0))</x:f>
      </x:c>
    </x:row>
    <x:row r="298" ht="23" customHeight="1">
      <x:c r="A298" s="2"/>
      <x:c r="B298" s="60" t="str">
        <x:f>IF($D$6&lt;&gt;"Complete","",IF('Inputs'!$C$47+228&lt;=$D$9,'Inputs'!$C$47+228,""))</x:f>
      </x:c>
      <x:c r="C298" s="37" t="str">
        <x:f>IF(B298="","",SUMIFS($D$14:$D$23,$C$14:$C$23,B298))</x:f>
      </x:c>
      <x:c r="D298" s="37" t="str">
        <x:f>IF(B298="","",SUMIFS($E$14:$E$23,$C$14:$C$23,B298))</x:f>
      </x:c>
      <x:c r="E298" s="37" t="str">
        <x:f>IF(B298="","",C298-D298)</x:f>
      </x:c>
      <x:c r="F298" s="37" t="str">
        <x:f>IF(B298="","",F297+E298)</x:f>
      </x:c>
      <x:c r="G298" s="37" t="str">
        <x:f>IF(OR(B298="",$I$6&lt;&gt;"Complete"),"",SUMIFS($D$32:$D$51,$C$32:$C$51,B298,$I$32:$I$51,"Ready"))</x:f>
      </x:c>
      <x:c r="H298" s="37" t="str">
        <x:f>IF(OR(B298="",$I$6&lt;&gt;"Complete"),"",SUMIFS($E$32:$E$51,$C$32:$C$51,B298,$I$32:$I$51,"Ready"))</x:f>
      </x:c>
      <x:c r="I298" s="37" t="str">
        <x:f>IF(OR(B298="",$I$6&lt;&gt;"Complete"),"",I297+E298+G298-H298)</x:f>
      </x:c>
      <x:c r="J298" s="37" t="str">
        <x:f>IF(OR(B298="",$I$6&lt;&gt;"Complete"),"",'Inputs'!$C$49)</x:f>
      </x:c>
      <x:c r="K298" s="37" t="str">
        <x:f>IF(OR(B298="",$I$6&lt;&gt;"Complete"),"",I298-J298)</x:f>
      </x:c>
      <x:c r="L298" s="61" t="str">
        <x:f>IF(OR(B298="",$I$6&lt;&gt;"Complete"),"",IF(K298&lt;0,1,0))</x:f>
      </x:c>
    </x:row>
    <x:row r="299" ht="23" customHeight="1">
      <x:c r="A299" s="2"/>
      <x:c r="B299" s="60" t="str">
        <x:f>IF($D$6&lt;&gt;"Complete","",IF('Inputs'!$C$47+229&lt;=$D$9,'Inputs'!$C$47+229,""))</x:f>
      </x:c>
      <x:c r="C299" s="37" t="str">
        <x:f>IF(B299="","",SUMIFS($D$14:$D$23,$C$14:$C$23,B299))</x:f>
      </x:c>
      <x:c r="D299" s="37" t="str">
        <x:f>IF(B299="","",SUMIFS($E$14:$E$23,$C$14:$C$23,B299))</x:f>
      </x:c>
      <x:c r="E299" s="37" t="str">
        <x:f>IF(B299="","",C299-D299)</x:f>
      </x:c>
      <x:c r="F299" s="37" t="str">
        <x:f>IF(B299="","",F298+E299)</x:f>
      </x:c>
      <x:c r="G299" s="37" t="str">
        <x:f>IF(OR(B299="",$I$6&lt;&gt;"Complete"),"",SUMIFS($D$32:$D$51,$C$32:$C$51,B299,$I$32:$I$51,"Ready"))</x:f>
      </x:c>
      <x:c r="H299" s="37" t="str">
        <x:f>IF(OR(B299="",$I$6&lt;&gt;"Complete"),"",SUMIFS($E$32:$E$51,$C$32:$C$51,B299,$I$32:$I$51,"Ready"))</x:f>
      </x:c>
      <x:c r="I299" s="37" t="str">
        <x:f>IF(OR(B299="",$I$6&lt;&gt;"Complete"),"",I298+E299+G299-H299)</x:f>
      </x:c>
      <x:c r="J299" s="37" t="str">
        <x:f>IF(OR(B299="",$I$6&lt;&gt;"Complete"),"",'Inputs'!$C$49)</x:f>
      </x:c>
      <x:c r="K299" s="37" t="str">
        <x:f>IF(OR(B299="",$I$6&lt;&gt;"Complete"),"",I299-J299)</x:f>
      </x:c>
      <x:c r="L299" s="61" t="str">
        <x:f>IF(OR(B299="",$I$6&lt;&gt;"Complete"),"",IF(K299&lt;0,1,0))</x:f>
      </x:c>
    </x:row>
    <x:row r="300" ht="23" customHeight="1">
      <x:c r="A300" s="2"/>
      <x:c r="B300" s="60" t="str">
        <x:f>IF($D$6&lt;&gt;"Complete","",IF('Inputs'!$C$47+230&lt;=$D$9,'Inputs'!$C$47+230,""))</x:f>
      </x:c>
      <x:c r="C300" s="37" t="str">
        <x:f>IF(B300="","",SUMIFS($D$14:$D$23,$C$14:$C$23,B300))</x:f>
      </x:c>
      <x:c r="D300" s="37" t="str">
        <x:f>IF(B300="","",SUMIFS($E$14:$E$23,$C$14:$C$23,B300))</x:f>
      </x:c>
      <x:c r="E300" s="37" t="str">
        <x:f>IF(B300="","",C300-D300)</x:f>
      </x:c>
      <x:c r="F300" s="37" t="str">
        <x:f>IF(B300="","",F299+E300)</x:f>
      </x:c>
      <x:c r="G300" s="37" t="str">
        <x:f>IF(OR(B300="",$I$6&lt;&gt;"Complete"),"",SUMIFS($D$32:$D$51,$C$32:$C$51,B300,$I$32:$I$51,"Ready"))</x:f>
      </x:c>
      <x:c r="H300" s="37" t="str">
        <x:f>IF(OR(B300="",$I$6&lt;&gt;"Complete"),"",SUMIFS($E$32:$E$51,$C$32:$C$51,B300,$I$32:$I$51,"Ready"))</x:f>
      </x:c>
      <x:c r="I300" s="37" t="str">
        <x:f>IF(OR(B300="",$I$6&lt;&gt;"Complete"),"",I299+E300+G300-H300)</x:f>
      </x:c>
      <x:c r="J300" s="37" t="str">
        <x:f>IF(OR(B300="",$I$6&lt;&gt;"Complete"),"",'Inputs'!$C$49)</x:f>
      </x:c>
      <x:c r="K300" s="37" t="str">
        <x:f>IF(OR(B300="",$I$6&lt;&gt;"Complete"),"",I300-J300)</x:f>
      </x:c>
      <x:c r="L300" s="61" t="str">
        <x:f>IF(OR(B300="",$I$6&lt;&gt;"Complete"),"",IF(K300&lt;0,1,0))</x:f>
      </x:c>
    </x:row>
    <x:row r="301" ht="23" customHeight="1">
      <x:c r="A301" s="2"/>
      <x:c r="B301" s="60" t="str">
        <x:f>IF($D$6&lt;&gt;"Complete","",IF('Inputs'!$C$47+231&lt;=$D$9,'Inputs'!$C$47+231,""))</x:f>
      </x:c>
      <x:c r="C301" s="37" t="str">
        <x:f>IF(B301="","",SUMIFS($D$14:$D$23,$C$14:$C$23,B301))</x:f>
      </x:c>
      <x:c r="D301" s="37" t="str">
        <x:f>IF(B301="","",SUMIFS($E$14:$E$23,$C$14:$C$23,B301))</x:f>
      </x:c>
      <x:c r="E301" s="37" t="str">
        <x:f>IF(B301="","",C301-D301)</x:f>
      </x:c>
      <x:c r="F301" s="37" t="str">
        <x:f>IF(B301="","",F300+E301)</x:f>
      </x:c>
      <x:c r="G301" s="37" t="str">
        <x:f>IF(OR(B301="",$I$6&lt;&gt;"Complete"),"",SUMIFS($D$32:$D$51,$C$32:$C$51,B301,$I$32:$I$51,"Ready"))</x:f>
      </x:c>
      <x:c r="H301" s="37" t="str">
        <x:f>IF(OR(B301="",$I$6&lt;&gt;"Complete"),"",SUMIFS($E$32:$E$51,$C$32:$C$51,B301,$I$32:$I$51,"Ready"))</x:f>
      </x:c>
      <x:c r="I301" s="37" t="str">
        <x:f>IF(OR(B301="",$I$6&lt;&gt;"Complete"),"",I300+E301+G301-H301)</x:f>
      </x:c>
      <x:c r="J301" s="37" t="str">
        <x:f>IF(OR(B301="",$I$6&lt;&gt;"Complete"),"",'Inputs'!$C$49)</x:f>
      </x:c>
      <x:c r="K301" s="37" t="str">
        <x:f>IF(OR(B301="",$I$6&lt;&gt;"Complete"),"",I301-J301)</x:f>
      </x:c>
      <x:c r="L301" s="61" t="str">
        <x:f>IF(OR(B301="",$I$6&lt;&gt;"Complete"),"",IF(K301&lt;0,1,0))</x:f>
      </x:c>
    </x:row>
    <x:row r="302" ht="23" customHeight="1">
      <x:c r="A302" s="2"/>
      <x:c r="B302" s="60" t="str">
        <x:f>IF($D$6&lt;&gt;"Complete","",IF('Inputs'!$C$47+232&lt;=$D$9,'Inputs'!$C$47+232,""))</x:f>
      </x:c>
      <x:c r="C302" s="37" t="str">
        <x:f>IF(B302="","",SUMIFS($D$14:$D$23,$C$14:$C$23,B302))</x:f>
      </x:c>
      <x:c r="D302" s="37" t="str">
        <x:f>IF(B302="","",SUMIFS($E$14:$E$23,$C$14:$C$23,B302))</x:f>
      </x:c>
      <x:c r="E302" s="37" t="str">
        <x:f>IF(B302="","",C302-D302)</x:f>
      </x:c>
      <x:c r="F302" s="37" t="str">
        <x:f>IF(B302="","",F301+E302)</x:f>
      </x:c>
      <x:c r="G302" s="37" t="str">
        <x:f>IF(OR(B302="",$I$6&lt;&gt;"Complete"),"",SUMIFS($D$32:$D$51,$C$32:$C$51,B302,$I$32:$I$51,"Ready"))</x:f>
      </x:c>
      <x:c r="H302" s="37" t="str">
        <x:f>IF(OR(B302="",$I$6&lt;&gt;"Complete"),"",SUMIFS($E$32:$E$51,$C$32:$C$51,B302,$I$32:$I$51,"Ready"))</x:f>
      </x:c>
      <x:c r="I302" s="37" t="str">
        <x:f>IF(OR(B302="",$I$6&lt;&gt;"Complete"),"",I301+E302+G302-H302)</x:f>
      </x:c>
      <x:c r="J302" s="37" t="str">
        <x:f>IF(OR(B302="",$I$6&lt;&gt;"Complete"),"",'Inputs'!$C$49)</x:f>
      </x:c>
      <x:c r="K302" s="37" t="str">
        <x:f>IF(OR(B302="",$I$6&lt;&gt;"Complete"),"",I302-J302)</x:f>
      </x:c>
      <x:c r="L302" s="61" t="str">
        <x:f>IF(OR(B302="",$I$6&lt;&gt;"Complete"),"",IF(K302&lt;0,1,0))</x:f>
      </x:c>
    </x:row>
    <x:row r="303" ht="23" customHeight="1">
      <x:c r="A303" s="2"/>
      <x:c r="B303" s="60" t="str">
        <x:f>IF($D$6&lt;&gt;"Complete","",IF('Inputs'!$C$47+233&lt;=$D$9,'Inputs'!$C$47+233,""))</x:f>
      </x:c>
      <x:c r="C303" s="37" t="str">
        <x:f>IF(B303="","",SUMIFS($D$14:$D$23,$C$14:$C$23,B303))</x:f>
      </x:c>
      <x:c r="D303" s="37" t="str">
        <x:f>IF(B303="","",SUMIFS($E$14:$E$23,$C$14:$C$23,B303))</x:f>
      </x:c>
      <x:c r="E303" s="37" t="str">
        <x:f>IF(B303="","",C303-D303)</x:f>
      </x:c>
      <x:c r="F303" s="37" t="str">
        <x:f>IF(B303="","",F302+E303)</x:f>
      </x:c>
      <x:c r="G303" s="37" t="str">
        <x:f>IF(OR(B303="",$I$6&lt;&gt;"Complete"),"",SUMIFS($D$32:$D$51,$C$32:$C$51,B303,$I$32:$I$51,"Ready"))</x:f>
      </x:c>
      <x:c r="H303" s="37" t="str">
        <x:f>IF(OR(B303="",$I$6&lt;&gt;"Complete"),"",SUMIFS($E$32:$E$51,$C$32:$C$51,B303,$I$32:$I$51,"Ready"))</x:f>
      </x:c>
      <x:c r="I303" s="37" t="str">
        <x:f>IF(OR(B303="",$I$6&lt;&gt;"Complete"),"",I302+E303+G303-H303)</x:f>
      </x:c>
      <x:c r="J303" s="37" t="str">
        <x:f>IF(OR(B303="",$I$6&lt;&gt;"Complete"),"",'Inputs'!$C$49)</x:f>
      </x:c>
      <x:c r="K303" s="37" t="str">
        <x:f>IF(OR(B303="",$I$6&lt;&gt;"Complete"),"",I303-J303)</x:f>
      </x:c>
      <x:c r="L303" s="61" t="str">
        <x:f>IF(OR(B303="",$I$6&lt;&gt;"Complete"),"",IF(K303&lt;0,1,0))</x:f>
      </x:c>
    </x:row>
    <x:row r="304" ht="23" customHeight="1">
      <x:c r="A304" s="2"/>
      <x:c r="B304" s="60" t="str">
        <x:f>IF($D$6&lt;&gt;"Complete","",IF('Inputs'!$C$47+234&lt;=$D$9,'Inputs'!$C$47+234,""))</x:f>
      </x:c>
      <x:c r="C304" s="37" t="str">
        <x:f>IF(B304="","",SUMIFS($D$14:$D$23,$C$14:$C$23,B304))</x:f>
      </x:c>
      <x:c r="D304" s="37" t="str">
        <x:f>IF(B304="","",SUMIFS($E$14:$E$23,$C$14:$C$23,B304))</x:f>
      </x:c>
      <x:c r="E304" s="37" t="str">
        <x:f>IF(B304="","",C304-D304)</x:f>
      </x:c>
      <x:c r="F304" s="37" t="str">
        <x:f>IF(B304="","",F303+E304)</x:f>
      </x:c>
      <x:c r="G304" s="37" t="str">
        <x:f>IF(OR(B304="",$I$6&lt;&gt;"Complete"),"",SUMIFS($D$32:$D$51,$C$32:$C$51,B304,$I$32:$I$51,"Ready"))</x:f>
      </x:c>
      <x:c r="H304" s="37" t="str">
        <x:f>IF(OR(B304="",$I$6&lt;&gt;"Complete"),"",SUMIFS($E$32:$E$51,$C$32:$C$51,B304,$I$32:$I$51,"Ready"))</x:f>
      </x:c>
      <x:c r="I304" s="37" t="str">
        <x:f>IF(OR(B304="",$I$6&lt;&gt;"Complete"),"",I303+E304+G304-H304)</x:f>
      </x:c>
      <x:c r="J304" s="37" t="str">
        <x:f>IF(OR(B304="",$I$6&lt;&gt;"Complete"),"",'Inputs'!$C$49)</x:f>
      </x:c>
      <x:c r="K304" s="37" t="str">
        <x:f>IF(OR(B304="",$I$6&lt;&gt;"Complete"),"",I304-J304)</x:f>
      </x:c>
      <x:c r="L304" s="61" t="str">
        <x:f>IF(OR(B304="",$I$6&lt;&gt;"Complete"),"",IF(K304&lt;0,1,0))</x:f>
      </x:c>
    </x:row>
    <x:row r="305" ht="23" customHeight="1">
      <x:c r="A305" s="2"/>
      <x:c r="B305" s="60" t="str">
        <x:f>IF($D$6&lt;&gt;"Complete","",IF('Inputs'!$C$47+235&lt;=$D$9,'Inputs'!$C$47+235,""))</x:f>
      </x:c>
      <x:c r="C305" s="37" t="str">
        <x:f>IF(B305="","",SUMIFS($D$14:$D$23,$C$14:$C$23,B305))</x:f>
      </x:c>
      <x:c r="D305" s="37" t="str">
        <x:f>IF(B305="","",SUMIFS($E$14:$E$23,$C$14:$C$23,B305))</x:f>
      </x:c>
      <x:c r="E305" s="37" t="str">
        <x:f>IF(B305="","",C305-D305)</x:f>
      </x:c>
      <x:c r="F305" s="37" t="str">
        <x:f>IF(B305="","",F304+E305)</x:f>
      </x:c>
      <x:c r="G305" s="37" t="str">
        <x:f>IF(OR(B305="",$I$6&lt;&gt;"Complete"),"",SUMIFS($D$32:$D$51,$C$32:$C$51,B305,$I$32:$I$51,"Ready"))</x:f>
      </x:c>
      <x:c r="H305" s="37" t="str">
        <x:f>IF(OR(B305="",$I$6&lt;&gt;"Complete"),"",SUMIFS($E$32:$E$51,$C$32:$C$51,B305,$I$32:$I$51,"Ready"))</x:f>
      </x:c>
      <x:c r="I305" s="37" t="str">
        <x:f>IF(OR(B305="",$I$6&lt;&gt;"Complete"),"",I304+E305+G305-H305)</x:f>
      </x:c>
      <x:c r="J305" s="37" t="str">
        <x:f>IF(OR(B305="",$I$6&lt;&gt;"Complete"),"",'Inputs'!$C$49)</x:f>
      </x:c>
      <x:c r="K305" s="37" t="str">
        <x:f>IF(OR(B305="",$I$6&lt;&gt;"Complete"),"",I305-J305)</x:f>
      </x:c>
      <x:c r="L305" s="61" t="str">
        <x:f>IF(OR(B305="",$I$6&lt;&gt;"Complete"),"",IF(K305&lt;0,1,0))</x:f>
      </x:c>
    </x:row>
    <x:row r="306" ht="23" customHeight="1">
      <x:c r="A306" s="2"/>
      <x:c r="B306" s="60" t="str">
        <x:f>IF($D$6&lt;&gt;"Complete","",IF('Inputs'!$C$47+236&lt;=$D$9,'Inputs'!$C$47+236,""))</x:f>
      </x:c>
      <x:c r="C306" s="37" t="str">
        <x:f>IF(B306="","",SUMIFS($D$14:$D$23,$C$14:$C$23,B306))</x:f>
      </x:c>
      <x:c r="D306" s="37" t="str">
        <x:f>IF(B306="","",SUMIFS($E$14:$E$23,$C$14:$C$23,B306))</x:f>
      </x:c>
      <x:c r="E306" s="37" t="str">
        <x:f>IF(B306="","",C306-D306)</x:f>
      </x:c>
      <x:c r="F306" s="37" t="str">
        <x:f>IF(B306="","",F305+E306)</x:f>
      </x:c>
      <x:c r="G306" s="37" t="str">
        <x:f>IF(OR(B306="",$I$6&lt;&gt;"Complete"),"",SUMIFS($D$32:$D$51,$C$32:$C$51,B306,$I$32:$I$51,"Ready"))</x:f>
      </x:c>
      <x:c r="H306" s="37" t="str">
        <x:f>IF(OR(B306="",$I$6&lt;&gt;"Complete"),"",SUMIFS($E$32:$E$51,$C$32:$C$51,B306,$I$32:$I$51,"Ready"))</x:f>
      </x:c>
      <x:c r="I306" s="37" t="str">
        <x:f>IF(OR(B306="",$I$6&lt;&gt;"Complete"),"",I305+E306+G306-H306)</x:f>
      </x:c>
      <x:c r="J306" s="37" t="str">
        <x:f>IF(OR(B306="",$I$6&lt;&gt;"Complete"),"",'Inputs'!$C$49)</x:f>
      </x:c>
      <x:c r="K306" s="37" t="str">
        <x:f>IF(OR(B306="",$I$6&lt;&gt;"Complete"),"",I306-J306)</x:f>
      </x:c>
      <x:c r="L306" s="61" t="str">
        <x:f>IF(OR(B306="",$I$6&lt;&gt;"Complete"),"",IF(K306&lt;0,1,0))</x:f>
      </x:c>
    </x:row>
    <x:row r="307" ht="23" customHeight="1">
      <x:c r="A307" s="2"/>
      <x:c r="B307" s="60" t="str">
        <x:f>IF($D$6&lt;&gt;"Complete","",IF('Inputs'!$C$47+237&lt;=$D$9,'Inputs'!$C$47+237,""))</x:f>
      </x:c>
      <x:c r="C307" s="37" t="str">
        <x:f>IF(B307="","",SUMIFS($D$14:$D$23,$C$14:$C$23,B307))</x:f>
      </x:c>
      <x:c r="D307" s="37" t="str">
        <x:f>IF(B307="","",SUMIFS($E$14:$E$23,$C$14:$C$23,B307))</x:f>
      </x:c>
      <x:c r="E307" s="37" t="str">
        <x:f>IF(B307="","",C307-D307)</x:f>
      </x:c>
      <x:c r="F307" s="37" t="str">
        <x:f>IF(B307="","",F306+E307)</x:f>
      </x:c>
      <x:c r="G307" s="37" t="str">
        <x:f>IF(OR(B307="",$I$6&lt;&gt;"Complete"),"",SUMIFS($D$32:$D$51,$C$32:$C$51,B307,$I$32:$I$51,"Ready"))</x:f>
      </x:c>
      <x:c r="H307" s="37" t="str">
        <x:f>IF(OR(B307="",$I$6&lt;&gt;"Complete"),"",SUMIFS($E$32:$E$51,$C$32:$C$51,B307,$I$32:$I$51,"Ready"))</x:f>
      </x:c>
      <x:c r="I307" s="37" t="str">
        <x:f>IF(OR(B307="",$I$6&lt;&gt;"Complete"),"",I306+E307+G307-H307)</x:f>
      </x:c>
      <x:c r="J307" s="37" t="str">
        <x:f>IF(OR(B307="",$I$6&lt;&gt;"Complete"),"",'Inputs'!$C$49)</x:f>
      </x:c>
      <x:c r="K307" s="37" t="str">
        <x:f>IF(OR(B307="",$I$6&lt;&gt;"Complete"),"",I307-J307)</x:f>
      </x:c>
      <x:c r="L307" s="61" t="str">
        <x:f>IF(OR(B307="",$I$6&lt;&gt;"Complete"),"",IF(K307&lt;0,1,0))</x:f>
      </x:c>
    </x:row>
    <x:row r="308" ht="23" customHeight="1">
      <x:c r="A308" s="2"/>
      <x:c r="B308" s="60" t="str">
        <x:f>IF($D$6&lt;&gt;"Complete","",IF('Inputs'!$C$47+238&lt;=$D$9,'Inputs'!$C$47+238,""))</x:f>
      </x:c>
      <x:c r="C308" s="37" t="str">
        <x:f>IF(B308="","",SUMIFS($D$14:$D$23,$C$14:$C$23,B308))</x:f>
      </x:c>
      <x:c r="D308" s="37" t="str">
        <x:f>IF(B308="","",SUMIFS($E$14:$E$23,$C$14:$C$23,B308))</x:f>
      </x:c>
      <x:c r="E308" s="37" t="str">
        <x:f>IF(B308="","",C308-D308)</x:f>
      </x:c>
      <x:c r="F308" s="37" t="str">
        <x:f>IF(B308="","",F307+E308)</x:f>
      </x:c>
      <x:c r="G308" s="37" t="str">
        <x:f>IF(OR(B308="",$I$6&lt;&gt;"Complete"),"",SUMIFS($D$32:$D$51,$C$32:$C$51,B308,$I$32:$I$51,"Ready"))</x:f>
      </x:c>
      <x:c r="H308" s="37" t="str">
        <x:f>IF(OR(B308="",$I$6&lt;&gt;"Complete"),"",SUMIFS($E$32:$E$51,$C$32:$C$51,B308,$I$32:$I$51,"Ready"))</x:f>
      </x:c>
      <x:c r="I308" s="37" t="str">
        <x:f>IF(OR(B308="",$I$6&lt;&gt;"Complete"),"",I307+E308+G308-H308)</x:f>
      </x:c>
      <x:c r="J308" s="37" t="str">
        <x:f>IF(OR(B308="",$I$6&lt;&gt;"Complete"),"",'Inputs'!$C$49)</x:f>
      </x:c>
      <x:c r="K308" s="37" t="str">
        <x:f>IF(OR(B308="",$I$6&lt;&gt;"Complete"),"",I308-J308)</x:f>
      </x:c>
      <x:c r="L308" s="61" t="str">
        <x:f>IF(OR(B308="",$I$6&lt;&gt;"Complete"),"",IF(K308&lt;0,1,0))</x:f>
      </x:c>
    </x:row>
    <x:row r="309" ht="23" customHeight="1">
      <x:c r="A309" s="2"/>
      <x:c r="B309" s="60" t="str">
        <x:f>IF($D$6&lt;&gt;"Complete","",IF('Inputs'!$C$47+239&lt;=$D$9,'Inputs'!$C$47+239,""))</x:f>
      </x:c>
      <x:c r="C309" s="37" t="str">
        <x:f>IF(B309="","",SUMIFS($D$14:$D$23,$C$14:$C$23,B309))</x:f>
      </x:c>
      <x:c r="D309" s="37" t="str">
        <x:f>IF(B309="","",SUMIFS($E$14:$E$23,$C$14:$C$23,B309))</x:f>
      </x:c>
      <x:c r="E309" s="37" t="str">
        <x:f>IF(B309="","",C309-D309)</x:f>
      </x:c>
      <x:c r="F309" s="37" t="str">
        <x:f>IF(B309="","",F308+E309)</x:f>
      </x:c>
      <x:c r="G309" s="37" t="str">
        <x:f>IF(OR(B309="",$I$6&lt;&gt;"Complete"),"",SUMIFS($D$32:$D$51,$C$32:$C$51,B309,$I$32:$I$51,"Ready"))</x:f>
      </x:c>
      <x:c r="H309" s="37" t="str">
        <x:f>IF(OR(B309="",$I$6&lt;&gt;"Complete"),"",SUMIFS($E$32:$E$51,$C$32:$C$51,B309,$I$32:$I$51,"Ready"))</x:f>
      </x:c>
      <x:c r="I309" s="37" t="str">
        <x:f>IF(OR(B309="",$I$6&lt;&gt;"Complete"),"",I308+E309+G309-H309)</x:f>
      </x:c>
      <x:c r="J309" s="37" t="str">
        <x:f>IF(OR(B309="",$I$6&lt;&gt;"Complete"),"",'Inputs'!$C$49)</x:f>
      </x:c>
      <x:c r="K309" s="37" t="str">
        <x:f>IF(OR(B309="",$I$6&lt;&gt;"Complete"),"",I309-J309)</x:f>
      </x:c>
      <x:c r="L309" s="61" t="str">
        <x:f>IF(OR(B309="",$I$6&lt;&gt;"Complete"),"",IF(K309&lt;0,1,0))</x:f>
      </x:c>
    </x:row>
    <x:row r="310" ht="23" customHeight="1">
      <x:c r="A310" s="2"/>
      <x:c r="B310" s="60" t="str">
        <x:f>IF($D$6&lt;&gt;"Complete","",IF('Inputs'!$C$47+240&lt;=$D$9,'Inputs'!$C$47+240,""))</x:f>
      </x:c>
      <x:c r="C310" s="37" t="str">
        <x:f>IF(B310="","",SUMIFS($D$14:$D$23,$C$14:$C$23,B310))</x:f>
      </x:c>
      <x:c r="D310" s="37" t="str">
        <x:f>IF(B310="","",SUMIFS($E$14:$E$23,$C$14:$C$23,B310))</x:f>
      </x:c>
      <x:c r="E310" s="37" t="str">
        <x:f>IF(B310="","",C310-D310)</x:f>
      </x:c>
      <x:c r="F310" s="37" t="str">
        <x:f>IF(B310="","",F309+E310)</x:f>
      </x:c>
      <x:c r="G310" s="37" t="str">
        <x:f>IF(OR(B310="",$I$6&lt;&gt;"Complete"),"",SUMIFS($D$32:$D$51,$C$32:$C$51,B310,$I$32:$I$51,"Ready"))</x:f>
      </x:c>
      <x:c r="H310" s="37" t="str">
        <x:f>IF(OR(B310="",$I$6&lt;&gt;"Complete"),"",SUMIFS($E$32:$E$51,$C$32:$C$51,B310,$I$32:$I$51,"Ready"))</x:f>
      </x:c>
      <x:c r="I310" s="37" t="str">
        <x:f>IF(OR(B310="",$I$6&lt;&gt;"Complete"),"",I309+E310+G310-H310)</x:f>
      </x:c>
      <x:c r="J310" s="37" t="str">
        <x:f>IF(OR(B310="",$I$6&lt;&gt;"Complete"),"",'Inputs'!$C$49)</x:f>
      </x:c>
      <x:c r="K310" s="37" t="str">
        <x:f>IF(OR(B310="",$I$6&lt;&gt;"Complete"),"",I310-J310)</x:f>
      </x:c>
      <x:c r="L310" s="61" t="str">
        <x:f>IF(OR(B310="",$I$6&lt;&gt;"Complete"),"",IF(K310&lt;0,1,0))</x:f>
      </x:c>
    </x:row>
    <x:row r="311" ht="23" customHeight="1">
      <x:c r="A311" s="2"/>
      <x:c r="B311" s="60" t="str">
        <x:f>IF($D$6&lt;&gt;"Complete","",IF('Inputs'!$C$47+241&lt;=$D$9,'Inputs'!$C$47+241,""))</x:f>
      </x:c>
      <x:c r="C311" s="37" t="str">
        <x:f>IF(B311="","",SUMIFS($D$14:$D$23,$C$14:$C$23,B311))</x:f>
      </x:c>
      <x:c r="D311" s="37" t="str">
        <x:f>IF(B311="","",SUMIFS($E$14:$E$23,$C$14:$C$23,B311))</x:f>
      </x:c>
      <x:c r="E311" s="37" t="str">
        <x:f>IF(B311="","",C311-D311)</x:f>
      </x:c>
      <x:c r="F311" s="37" t="str">
        <x:f>IF(B311="","",F310+E311)</x:f>
      </x:c>
      <x:c r="G311" s="37" t="str">
        <x:f>IF(OR(B311="",$I$6&lt;&gt;"Complete"),"",SUMIFS($D$32:$D$51,$C$32:$C$51,B311,$I$32:$I$51,"Ready"))</x:f>
      </x:c>
      <x:c r="H311" s="37" t="str">
        <x:f>IF(OR(B311="",$I$6&lt;&gt;"Complete"),"",SUMIFS($E$32:$E$51,$C$32:$C$51,B311,$I$32:$I$51,"Ready"))</x:f>
      </x:c>
      <x:c r="I311" s="37" t="str">
        <x:f>IF(OR(B311="",$I$6&lt;&gt;"Complete"),"",I310+E311+G311-H311)</x:f>
      </x:c>
      <x:c r="J311" s="37" t="str">
        <x:f>IF(OR(B311="",$I$6&lt;&gt;"Complete"),"",'Inputs'!$C$49)</x:f>
      </x:c>
      <x:c r="K311" s="37" t="str">
        <x:f>IF(OR(B311="",$I$6&lt;&gt;"Complete"),"",I311-J311)</x:f>
      </x:c>
      <x:c r="L311" s="61" t="str">
        <x:f>IF(OR(B311="",$I$6&lt;&gt;"Complete"),"",IF(K311&lt;0,1,0))</x:f>
      </x:c>
    </x:row>
    <x:row r="312" ht="23" customHeight="1">
      <x:c r="A312" s="2"/>
      <x:c r="B312" s="60" t="str">
        <x:f>IF($D$6&lt;&gt;"Complete","",IF('Inputs'!$C$47+242&lt;=$D$9,'Inputs'!$C$47+242,""))</x:f>
      </x:c>
      <x:c r="C312" s="37" t="str">
        <x:f>IF(B312="","",SUMIFS($D$14:$D$23,$C$14:$C$23,B312))</x:f>
      </x:c>
      <x:c r="D312" s="37" t="str">
        <x:f>IF(B312="","",SUMIFS($E$14:$E$23,$C$14:$C$23,B312))</x:f>
      </x:c>
      <x:c r="E312" s="37" t="str">
        <x:f>IF(B312="","",C312-D312)</x:f>
      </x:c>
      <x:c r="F312" s="37" t="str">
        <x:f>IF(B312="","",F311+E312)</x:f>
      </x:c>
      <x:c r="G312" s="37" t="str">
        <x:f>IF(OR(B312="",$I$6&lt;&gt;"Complete"),"",SUMIFS($D$32:$D$51,$C$32:$C$51,B312,$I$32:$I$51,"Ready"))</x:f>
      </x:c>
      <x:c r="H312" s="37" t="str">
        <x:f>IF(OR(B312="",$I$6&lt;&gt;"Complete"),"",SUMIFS($E$32:$E$51,$C$32:$C$51,B312,$I$32:$I$51,"Ready"))</x:f>
      </x:c>
      <x:c r="I312" s="37" t="str">
        <x:f>IF(OR(B312="",$I$6&lt;&gt;"Complete"),"",I311+E312+G312-H312)</x:f>
      </x:c>
      <x:c r="J312" s="37" t="str">
        <x:f>IF(OR(B312="",$I$6&lt;&gt;"Complete"),"",'Inputs'!$C$49)</x:f>
      </x:c>
      <x:c r="K312" s="37" t="str">
        <x:f>IF(OR(B312="",$I$6&lt;&gt;"Complete"),"",I312-J312)</x:f>
      </x:c>
      <x:c r="L312" s="61" t="str">
        <x:f>IF(OR(B312="",$I$6&lt;&gt;"Complete"),"",IF(K312&lt;0,1,0))</x:f>
      </x:c>
    </x:row>
    <x:row r="313" ht="23" customHeight="1">
      <x:c r="A313" s="2"/>
      <x:c r="B313" s="60" t="str">
        <x:f>IF($D$6&lt;&gt;"Complete","",IF('Inputs'!$C$47+243&lt;=$D$9,'Inputs'!$C$47+243,""))</x:f>
      </x:c>
      <x:c r="C313" s="37" t="str">
        <x:f>IF(B313="","",SUMIFS($D$14:$D$23,$C$14:$C$23,B313))</x:f>
      </x:c>
      <x:c r="D313" s="37" t="str">
        <x:f>IF(B313="","",SUMIFS($E$14:$E$23,$C$14:$C$23,B313))</x:f>
      </x:c>
      <x:c r="E313" s="37" t="str">
        <x:f>IF(B313="","",C313-D313)</x:f>
      </x:c>
      <x:c r="F313" s="37" t="str">
        <x:f>IF(B313="","",F312+E313)</x:f>
      </x:c>
      <x:c r="G313" s="37" t="str">
        <x:f>IF(OR(B313="",$I$6&lt;&gt;"Complete"),"",SUMIFS($D$32:$D$51,$C$32:$C$51,B313,$I$32:$I$51,"Ready"))</x:f>
      </x:c>
      <x:c r="H313" s="37" t="str">
        <x:f>IF(OR(B313="",$I$6&lt;&gt;"Complete"),"",SUMIFS($E$32:$E$51,$C$32:$C$51,B313,$I$32:$I$51,"Ready"))</x:f>
      </x:c>
      <x:c r="I313" s="37" t="str">
        <x:f>IF(OR(B313="",$I$6&lt;&gt;"Complete"),"",I312+E313+G313-H313)</x:f>
      </x:c>
      <x:c r="J313" s="37" t="str">
        <x:f>IF(OR(B313="",$I$6&lt;&gt;"Complete"),"",'Inputs'!$C$49)</x:f>
      </x:c>
      <x:c r="K313" s="37" t="str">
        <x:f>IF(OR(B313="",$I$6&lt;&gt;"Complete"),"",I313-J313)</x:f>
      </x:c>
      <x:c r="L313" s="61" t="str">
        <x:f>IF(OR(B313="",$I$6&lt;&gt;"Complete"),"",IF(K313&lt;0,1,0))</x:f>
      </x:c>
    </x:row>
    <x:row r="314" ht="23" customHeight="1">
      <x:c r="A314" s="2"/>
      <x:c r="B314" s="60" t="str">
        <x:f>IF($D$6&lt;&gt;"Complete","",IF('Inputs'!$C$47+244&lt;=$D$9,'Inputs'!$C$47+244,""))</x:f>
      </x:c>
      <x:c r="C314" s="37" t="str">
        <x:f>IF(B314="","",SUMIFS($D$14:$D$23,$C$14:$C$23,B314))</x:f>
      </x:c>
      <x:c r="D314" s="37" t="str">
        <x:f>IF(B314="","",SUMIFS($E$14:$E$23,$C$14:$C$23,B314))</x:f>
      </x:c>
      <x:c r="E314" s="37" t="str">
        <x:f>IF(B314="","",C314-D314)</x:f>
      </x:c>
      <x:c r="F314" s="37" t="str">
        <x:f>IF(B314="","",F313+E314)</x:f>
      </x:c>
      <x:c r="G314" s="37" t="str">
        <x:f>IF(OR(B314="",$I$6&lt;&gt;"Complete"),"",SUMIFS($D$32:$D$51,$C$32:$C$51,B314,$I$32:$I$51,"Ready"))</x:f>
      </x:c>
      <x:c r="H314" s="37" t="str">
        <x:f>IF(OR(B314="",$I$6&lt;&gt;"Complete"),"",SUMIFS($E$32:$E$51,$C$32:$C$51,B314,$I$32:$I$51,"Ready"))</x:f>
      </x:c>
      <x:c r="I314" s="37" t="str">
        <x:f>IF(OR(B314="",$I$6&lt;&gt;"Complete"),"",I313+E314+G314-H314)</x:f>
      </x:c>
      <x:c r="J314" s="37" t="str">
        <x:f>IF(OR(B314="",$I$6&lt;&gt;"Complete"),"",'Inputs'!$C$49)</x:f>
      </x:c>
      <x:c r="K314" s="37" t="str">
        <x:f>IF(OR(B314="",$I$6&lt;&gt;"Complete"),"",I314-J314)</x:f>
      </x:c>
      <x:c r="L314" s="61" t="str">
        <x:f>IF(OR(B314="",$I$6&lt;&gt;"Complete"),"",IF(K314&lt;0,1,0))</x:f>
      </x:c>
    </x:row>
    <x:row r="315" ht="23" customHeight="1">
      <x:c r="A315" s="2"/>
      <x:c r="B315" s="60" t="str">
        <x:f>IF($D$6&lt;&gt;"Complete","",IF('Inputs'!$C$47+245&lt;=$D$9,'Inputs'!$C$47+245,""))</x:f>
      </x:c>
      <x:c r="C315" s="37" t="str">
        <x:f>IF(B315="","",SUMIFS($D$14:$D$23,$C$14:$C$23,B315))</x:f>
      </x:c>
      <x:c r="D315" s="37" t="str">
        <x:f>IF(B315="","",SUMIFS($E$14:$E$23,$C$14:$C$23,B315))</x:f>
      </x:c>
      <x:c r="E315" s="37" t="str">
        <x:f>IF(B315="","",C315-D315)</x:f>
      </x:c>
      <x:c r="F315" s="37" t="str">
        <x:f>IF(B315="","",F314+E315)</x:f>
      </x:c>
      <x:c r="G315" s="37" t="str">
        <x:f>IF(OR(B315="",$I$6&lt;&gt;"Complete"),"",SUMIFS($D$32:$D$51,$C$32:$C$51,B315,$I$32:$I$51,"Ready"))</x:f>
      </x:c>
      <x:c r="H315" s="37" t="str">
        <x:f>IF(OR(B315="",$I$6&lt;&gt;"Complete"),"",SUMIFS($E$32:$E$51,$C$32:$C$51,B315,$I$32:$I$51,"Ready"))</x:f>
      </x:c>
      <x:c r="I315" s="37" t="str">
        <x:f>IF(OR(B315="",$I$6&lt;&gt;"Complete"),"",I314+E315+G315-H315)</x:f>
      </x:c>
      <x:c r="J315" s="37" t="str">
        <x:f>IF(OR(B315="",$I$6&lt;&gt;"Complete"),"",'Inputs'!$C$49)</x:f>
      </x:c>
      <x:c r="K315" s="37" t="str">
        <x:f>IF(OR(B315="",$I$6&lt;&gt;"Complete"),"",I315-J315)</x:f>
      </x:c>
      <x:c r="L315" s="61" t="str">
        <x:f>IF(OR(B315="",$I$6&lt;&gt;"Complete"),"",IF(K315&lt;0,1,0))</x:f>
      </x:c>
    </x:row>
    <x:row r="316" ht="23" customHeight="1">
      <x:c r="A316" s="2"/>
      <x:c r="B316" s="60" t="str">
        <x:f>IF($D$6&lt;&gt;"Complete","",IF('Inputs'!$C$47+246&lt;=$D$9,'Inputs'!$C$47+246,""))</x:f>
      </x:c>
      <x:c r="C316" s="37" t="str">
        <x:f>IF(B316="","",SUMIFS($D$14:$D$23,$C$14:$C$23,B316))</x:f>
      </x:c>
      <x:c r="D316" s="37" t="str">
        <x:f>IF(B316="","",SUMIFS($E$14:$E$23,$C$14:$C$23,B316))</x:f>
      </x:c>
      <x:c r="E316" s="37" t="str">
        <x:f>IF(B316="","",C316-D316)</x:f>
      </x:c>
      <x:c r="F316" s="37" t="str">
        <x:f>IF(B316="","",F315+E316)</x:f>
      </x:c>
      <x:c r="G316" s="37" t="str">
        <x:f>IF(OR(B316="",$I$6&lt;&gt;"Complete"),"",SUMIFS($D$32:$D$51,$C$32:$C$51,B316,$I$32:$I$51,"Ready"))</x:f>
      </x:c>
      <x:c r="H316" s="37" t="str">
        <x:f>IF(OR(B316="",$I$6&lt;&gt;"Complete"),"",SUMIFS($E$32:$E$51,$C$32:$C$51,B316,$I$32:$I$51,"Ready"))</x:f>
      </x:c>
      <x:c r="I316" s="37" t="str">
        <x:f>IF(OR(B316="",$I$6&lt;&gt;"Complete"),"",I315+E316+G316-H316)</x:f>
      </x:c>
      <x:c r="J316" s="37" t="str">
        <x:f>IF(OR(B316="",$I$6&lt;&gt;"Complete"),"",'Inputs'!$C$49)</x:f>
      </x:c>
      <x:c r="K316" s="37" t="str">
        <x:f>IF(OR(B316="",$I$6&lt;&gt;"Complete"),"",I316-J316)</x:f>
      </x:c>
      <x:c r="L316" s="61" t="str">
        <x:f>IF(OR(B316="",$I$6&lt;&gt;"Complete"),"",IF(K316&lt;0,1,0))</x:f>
      </x:c>
    </x:row>
    <x:row r="317" ht="23" customHeight="1">
      <x:c r="A317" s="2"/>
      <x:c r="B317" s="60" t="str">
        <x:f>IF($D$6&lt;&gt;"Complete","",IF('Inputs'!$C$47+247&lt;=$D$9,'Inputs'!$C$47+247,""))</x:f>
      </x:c>
      <x:c r="C317" s="37" t="str">
        <x:f>IF(B317="","",SUMIFS($D$14:$D$23,$C$14:$C$23,B317))</x:f>
      </x:c>
      <x:c r="D317" s="37" t="str">
        <x:f>IF(B317="","",SUMIFS($E$14:$E$23,$C$14:$C$23,B317))</x:f>
      </x:c>
      <x:c r="E317" s="37" t="str">
        <x:f>IF(B317="","",C317-D317)</x:f>
      </x:c>
      <x:c r="F317" s="37" t="str">
        <x:f>IF(B317="","",F316+E317)</x:f>
      </x:c>
      <x:c r="G317" s="37" t="str">
        <x:f>IF(OR(B317="",$I$6&lt;&gt;"Complete"),"",SUMIFS($D$32:$D$51,$C$32:$C$51,B317,$I$32:$I$51,"Ready"))</x:f>
      </x:c>
      <x:c r="H317" s="37" t="str">
        <x:f>IF(OR(B317="",$I$6&lt;&gt;"Complete"),"",SUMIFS($E$32:$E$51,$C$32:$C$51,B317,$I$32:$I$51,"Ready"))</x:f>
      </x:c>
      <x:c r="I317" s="37" t="str">
        <x:f>IF(OR(B317="",$I$6&lt;&gt;"Complete"),"",I316+E317+G317-H317)</x:f>
      </x:c>
      <x:c r="J317" s="37" t="str">
        <x:f>IF(OR(B317="",$I$6&lt;&gt;"Complete"),"",'Inputs'!$C$49)</x:f>
      </x:c>
      <x:c r="K317" s="37" t="str">
        <x:f>IF(OR(B317="",$I$6&lt;&gt;"Complete"),"",I317-J317)</x:f>
      </x:c>
      <x:c r="L317" s="61" t="str">
        <x:f>IF(OR(B317="",$I$6&lt;&gt;"Complete"),"",IF(K317&lt;0,1,0))</x:f>
      </x:c>
    </x:row>
    <x:row r="318" ht="23" customHeight="1">
      <x:c r="A318" s="2"/>
      <x:c r="B318" s="60" t="str">
        <x:f>IF($D$6&lt;&gt;"Complete","",IF('Inputs'!$C$47+248&lt;=$D$9,'Inputs'!$C$47+248,""))</x:f>
      </x:c>
      <x:c r="C318" s="37" t="str">
        <x:f>IF(B318="","",SUMIFS($D$14:$D$23,$C$14:$C$23,B318))</x:f>
      </x:c>
      <x:c r="D318" s="37" t="str">
        <x:f>IF(B318="","",SUMIFS($E$14:$E$23,$C$14:$C$23,B318))</x:f>
      </x:c>
      <x:c r="E318" s="37" t="str">
        <x:f>IF(B318="","",C318-D318)</x:f>
      </x:c>
      <x:c r="F318" s="37" t="str">
        <x:f>IF(B318="","",F317+E318)</x:f>
      </x:c>
      <x:c r="G318" s="37" t="str">
        <x:f>IF(OR(B318="",$I$6&lt;&gt;"Complete"),"",SUMIFS($D$32:$D$51,$C$32:$C$51,B318,$I$32:$I$51,"Ready"))</x:f>
      </x:c>
      <x:c r="H318" s="37" t="str">
        <x:f>IF(OR(B318="",$I$6&lt;&gt;"Complete"),"",SUMIFS($E$32:$E$51,$C$32:$C$51,B318,$I$32:$I$51,"Ready"))</x:f>
      </x:c>
      <x:c r="I318" s="37" t="str">
        <x:f>IF(OR(B318="",$I$6&lt;&gt;"Complete"),"",I317+E318+G318-H318)</x:f>
      </x:c>
      <x:c r="J318" s="37" t="str">
        <x:f>IF(OR(B318="",$I$6&lt;&gt;"Complete"),"",'Inputs'!$C$49)</x:f>
      </x:c>
      <x:c r="K318" s="37" t="str">
        <x:f>IF(OR(B318="",$I$6&lt;&gt;"Complete"),"",I318-J318)</x:f>
      </x:c>
      <x:c r="L318" s="61" t="str">
        <x:f>IF(OR(B318="",$I$6&lt;&gt;"Complete"),"",IF(K318&lt;0,1,0))</x:f>
      </x:c>
    </x:row>
    <x:row r="319" ht="23" customHeight="1">
      <x:c r="A319" s="2"/>
      <x:c r="B319" s="60" t="str">
        <x:f>IF($D$6&lt;&gt;"Complete","",IF('Inputs'!$C$47+249&lt;=$D$9,'Inputs'!$C$47+249,""))</x:f>
      </x:c>
      <x:c r="C319" s="37" t="str">
        <x:f>IF(B319="","",SUMIFS($D$14:$D$23,$C$14:$C$23,B319))</x:f>
      </x:c>
      <x:c r="D319" s="37" t="str">
        <x:f>IF(B319="","",SUMIFS($E$14:$E$23,$C$14:$C$23,B319))</x:f>
      </x:c>
      <x:c r="E319" s="37" t="str">
        <x:f>IF(B319="","",C319-D319)</x:f>
      </x:c>
      <x:c r="F319" s="37" t="str">
        <x:f>IF(B319="","",F318+E319)</x:f>
      </x:c>
      <x:c r="G319" s="37" t="str">
        <x:f>IF(OR(B319="",$I$6&lt;&gt;"Complete"),"",SUMIFS($D$32:$D$51,$C$32:$C$51,B319,$I$32:$I$51,"Ready"))</x:f>
      </x:c>
      <x:c r="H319" s="37" t="str">
        <x:f>IF(OR(B319="",$I$6&lt;&gt;"Complete"),"",SUMIFS($E$32:$E$51,$C$32:$C$51,B319,$I$32:$I$51,"Ready"))</x:f>
      </x:c>
      <x:c r="I319" s="37" t="str">
        <x:f>IF(OR(B319="",$I$6&lt;&gt;"Complete"),"",I318+E319+G319-H319)</x:f>
      </x:c>
      <x:c r="J319" s="37" t="str">
        <x:f>IF(OR(B319="",$I$6&lt;&gt;"Complete"),"",'Inputs'!$C$49)</x:f>
      </x:c>
      <x:c r="K319" s="37" t="str">
        <x:f>IF(OR(B319="",$I$6&lt;&gt;"Complete"),"",I319-J319)</x:f>
      </x:c>
      <x:c r="L319" s="61" t="str">
        <x:f>IF(OR(B319="",$I$6&lt;&gt;"Complete"),"",IF(K319&lt;0,1,0))</x:f>
      </x:c>
    </x:row>
    <x:row r="320" ht="23" customHeight="1">
      <x:c r="A320" s="2"/>
      <x:c r="B320" s="60" t="str">
        <x:f>IF($D$6&lt;&gt;"Complete","",IF('Inputs'!$C$47+250&lt;=$D$9,'Inputs'!$C$47+250,""))</x:f>
      </x:c>
      <x:c r="C320" s="37" t="str">
        <x:f>IF(B320="","",SUMIFS($D$14:$D$23,$C$14:$C$23,B320))</x:f>
      </x:c>
      <x:c r="D320" s="37" t="str">
        <x:f>IF(B320="","",SUMIFS($E$14:$E$23,$C$14:$C$23,B320))</x:f>
      </x:c>
      <x:c r="E320" s="37" t="str">
        <x:f>IF(B320="","",C320-D320)</x:f>
      </x:c>
      <x:c r="F320" s="37" t="str">
        <x:f>IF(B320="","",F319+E320)</x:f>
      </x:c>
      <x:c r="G320" s="37" t="str">
        <x:f>IF(OR(B320="",$I$6&lt;&gt;"Complete"),"",SUMIFS($D$32:$D$51,$C$32:$C$51,B320,$I$32:$I$51,"Ready"))</x:f>
      </x:c>
      <x:c r="H320" s="37" t="str">
        <x:f>IF(OR(B320="",$I$6&lt;&gt;"Complete"),"",SUMIFS($E$32:$E$51,$C$32:$C$51,B320,$I$32:$I$51,"Ready"))</x:f>
      </x:c>
      <x:c r="I320" s="37" t="str">
        <x:f>IF(OR(B320="",$I$6&lt;&gt;"Complete"),"",I319+E320+G320-H320)</x:f>
      </x:c>
      <x:c r="J320" s="37" t="str">
        <x:f>IF(OR(B320="",$I$6&lt;&gt;"Complete"),"",'Inputs'!$C$49)</x:f>
      </x:c>
      <x:c r="K320" s="37" t="str">
        <x:f>IF(OR(B320="",$I$6&lt;&gt;"Complete"),"",I320-J320)</x:f>
      </x:c>
      <x:c r="L320" s="61" t="str">
        <x:f>IF(OR(B320="",$I$6&lt;&gt;"Complete"),"",IF(K320&lt;0,1,0))</x:f>
      </x:c>
    </x:row>
    <x:row r="321" ht="23" customHeight="1">
      <x:c r="A321" s="2"/>
      <x:c r="B321" s="60" t="str">
        <x:f>IF($D$6&lt;&gt;"Complete","",IF('Inputs'!$C$47+251&lt;=$D$9,'Inputs'!$C$47+251,""))</x:f>
      </x:c>
      <x:c r="C321" s="37" t="str">
        <x:f>IF(B321="","",SUMIFS($D$14:$D$23,$C$14:$C$23,B321))</x:f>
      </x:c>
      <x:c r="D321" s="37" t="str">
        <x:f>IF(B321="","",SUMIFS($E$14:$E$23,$C$14:$C$23,B321))</x:f>
      </x:c>
      <x:c r="E321" s="37" t="str">
        <x:f>IF(B321="","",C321-D321)</x:f>
      </x:c>
      <x:c r="F321" s="37" t="str">
        <x:f>IF(B321="","",F320+E321)</x:f>
      </x:c>
      <x:c r="G321" s="37" t="str">
        <x:f>IF(OR(B321="",$I$6&lt;&gt;"Complete"),"",SUMIFS($D$32:$D$51,$C$32:$C$51,B321,$I$32:$I$51,"Ready"))</x:f>
      </x:c>
      <x:c r="H321" s="37" t="str">
        <x:f>IF(OR(B321="",$I$6&lt;&gt;"Complete"),"",SUMIFS($E$32:$E$51,$C$32:$C$51,B321,$I$32:$I$51,"Ready"))</x:f>
      </x:c>
      <x:c r="I321" s="37" t="str">
        <x:f>IF(OR(B321="",$I$6&lt;&gt;"Complete"),"",I320+E321+G321-H321)</x:f>
      </x:c>
      <x:c r="J321" s="37" t="str">
        <x:f>IF(OR(B321="",$I$6&lt;&gt;"Complete"),"",'Inputs'!$C$49)</x:f>
      </x:c>
      <x:c r="K321" s="37" t="str">
        <x:f>IF(OR(B321="",$I$6&lt;&gt;"Complete"),"",I321-J321)</x:f>
      </x:c>
      <x:c r="L321" s="61" t="str">
        <x:f>IF(OR(B321="",$I$6&lt;&gt;"Complete"),"",IF(K321&lt;0,1,0))</x:f>
      </x:c>
    </x:row>
    <x:row r="322" ht="23" customHeight="1">
      <x:c r="A322" s="2"/>
      <x:c r="B322" s="60" t="str">
        <x:f>IF($D$6&lt;&gt;"Complete","",IF('Inputs'!$C$47+252&lt;=$D$9,'Inputs'!$C$47+252,""))</x:f>
      </x:c>
      <x:c r="C322" s="37" t="str">
        <x:f>IF(B322="","",SUMIFS($D$14:$D$23,$C$14:$C$23,B322))</x:f>
      </x:c>
      <x:c r="D322" s="37" t="str">
        <x:f>IF(B322="","",SUMIFS($E$14:$E$23,$C$14:$C$23,B322))</x:f>
      </x:c>
      <x:c r="E322" s="37" t="str">
        <x:f>IF(B322="","",C322-D322)</x:f>
      </x:c>
      <x:c r="F322" s="37" t="str">
        <x:f>IF(B322="","",F321+E322)</x:f>
      </x:c>
      <x:c r="G322" s="37" t="str">
        <x:f>IF(OR(B322="",$I$6&lt;&gt;"Complete"),"",SUMIFS($D$32:$D$51,$C$32:$C$51,B322,$I$32:$I$51,"Ready"))</x:f>
      </x:c>
      <x:c r="H322" s="37" t="str">
        <x:f>IF(OR(B322="",$I$6&lt;&gt;"Complete"),"",SUMIFS($E$32:$E$51,$C$32:$C$51,B322,$I$32:$I$51,"Ready"))</x:f>
      </x:c>
      <x:c r="I322" s="37" t="str">
        <x:f>IF(OR(B322="",$I$6&lt;&gt;"Complete"),"",I321+E322+G322-H322)</x:f>
      </x:c>
      <x:c r="J322" s="37" t="str">
        <x:f>IF(OR(B322="",$I$6&lt;&gt;"Complete"),"",'Inputs'!$C$49)</x:f>
      </x:c>
      <x:c r="K322" s="37" t="str">
        <x:f>IF(OR(B322="",$I$6&lt;&gt;"Complete"),"",I322-J322)</x:f>
      </x:c>
      <x:c r="L322" s="61" t="str">
        <x:f>IF(OR(B322="",$I$6&lt;&gt;"Complete"),"",IF(K322&lt;0,1,0))</x:f>
      </x:c>
    </x:row>
    <x:row r="323" ht="23" customHeight="1">
      <x:c r="A323" s="2"/>
      <x:c r="B323" s="60" t="str">
        <x:f>IF($D$6&lt;&gt;"Complete","",IF('Inputs'!$C$47+253&lt;=$D$9,'Inputs'!$C$47+253,""))</x:f>
      </x:c>
      <x:c r="C323" s="37" t="str">
        <x:f>IF(B323="","",SUMIFS($D$14:$D$23,$C$14:$C$23,B323))</x:f>
      </x:c>
      <x:c r="D323" s="37" t="str">
        <x:f>IF(B323="","",SUMIFS($E$14:$E$23,$C$14:$C$23,B323))</x:f>
      </x:c>
      <x:c r="E323" s="37" t="str">
        <x:f>IF(B323="","",C323-D323)</x:f>
      </x:c>
      <x:c r="F323" s="37" t="str">
        <x:f>IF(B323="","",F322+E323)</x:f>
      </x:c>
      <x:c r="G323" s="37" t="str">
        <x:f>IF(OR(B323="",$I$6&lt;&gt;"Complete"),"",SUMIFS($D$32:$D$51,$C$32:$C$51,B323,$I$32:$I$51,"Ready"))</x:f>
      </x:c>
      <x:c r="H323" s="37" t="str">
        <x:f>IF(OR(B323="",$I$6&lt;&gt;"Complete"),"",SUMIFS($E$32:$E$51,$C$32:$C$51,B323,$I$32:$I$51,"Ready"))</x:f>
      </x:c>
      <x:c r="I323" s="37" t="str">
        <x:f>IF(OR(B323="",$I$6&lt;&gt;"Complete"),"",I322+E323+G323-H323)</x:f>
      </x:c>
      <x:c r="J323" s="37" t="str">
        <x:f>IF(OR(B323="",$I$6&lt;&gt;"Complete"),"",'Inputs'!$C$49)</x:f>
      </x:c>
      <x:c r="K323" s="37" t="str">
        <x:f>IF(OR(B323="",$I$6&lt;&gt;"Complete"),"",I323-J323)</x:f>
      </x:c>
      <x:c r="L323" s="61" t="str">
        <x:f>IF(OR(B323="",$I$6&lt;&gt;"Complete"),"",IF(K323&lt;0,1,0))</x:f>
      </x:c>
    </x:row>
    <x:row r="324" ht="23" customHeight="1">
      <x:c r="A324" s="2"/>
      <x:c r="B324" s="60" t="str">
        <x:f>IF($D$6&lt;&gt;"Complete","",IF('Inputs'!$C$47+254&lt;=$D$9,'Inputs'!$C$47+254,""))</x:f>
      </x:c>
      <x:c r="C324" s="37" t="str">
        <x:f>IF(B324="","",SUMIFS($D$14:$D$23,$C$14:$C$23,B324))</x:f>
      </x:c>
      <x:c r="D324" s="37" t="str">
        <x:f>IF(B324="","",SUMIFS($E$14:$E$23,$C$14:$C$23,B324))</x:f>
      </x:c>
      <x:c r="E324" s="37" t="str">
        <x:f>IF(B324="","",C324-D324)</x:f>
      </x:c>
      <x:c r="F324" s="37" t="str">
        <x:f>IF(B324="","",F323+E324)</x:f>
      </x:c>
      <x:c r="G324" s="37" t="str">
        <x:f>IF(OR(B324="",$I$6&lt;&gt;"Complete"),"",SUMIFS($D$32:$D$51,$C$32:$C$51,B324,$I$32:$I$51,"Ready"))</x:f>
      </x:c>
      <x:c r="H324" s="37" t="str">
        <x:f>IF(OR(B324="",$I$6&lt;&gt;"Complete"),"",SUMIFS($E$32:$E$51,$C$32:$C$51,B324,$I$32:$I$51,"Ready"))</x:f>
      </x:c>
      <x:c r="I324" s="37" t="str">
        <x:f>IF(OR(B324="",$I$6&lt;&gt;"Complete"),"",I323+E324+G324-H324)</x:f>
      </x:c>
      <x:c r="J324" s="37" t="str">
        <x:f>IF(OR(B324="",$I$6&lt;&gt;"Complete"),"",'Inputs'!$C$49)</x:f>
      </x:c>
      <x:c r="K324" s="37" t="str">
        <x:f>IF(OR(B324="",$I$6&lt;&gt;"Complete"),"",I324-J324)</x:f>
      </x:c>
      <x:c r="L324" s="61" t="str">
        <x:f>IF(OR(B324="",$I$6&lt;&gt;"Complete"),"",IF(K324&lt;0,1,0))</x:f>
      </x:c>
    </x:row>
    <x:row r="325" ht="23" customHeight="1">
      <x:c r="A325" s="2"/>
      <x:c r="B325" s="60" t="str">
        <x:f>IF($D$6&lt;&gt;"Complete","",IF('Inputs'!$C$47+255&lt;=$D$9,'Inputs'!$C$47+255,""))</x:f>
      </x:c>
      <x:c r="C325" s="37" t="str">
        <x:f>IF(B325="","",SUMIFS($D$14:$D$23,$C$14:$C$23,B325))</x:f>
      </x:c>
      <x:c r="D325" s="37" t="str">
        <x:f>IF(B325="","",SUMIFS($E$14:$E$23,$C$14:$C$23,B325))</x:f>
      </x:c>
      <x:c r="E325" s="37" t="str">
        <x:f>IF(B325="","",C325-D325)</x:f>
      </x:c>
      <x:c r="F325" s="37" t="str">
        <x:f>IF(B325="","",F324+E325)</x:f>
      </x:c>
      <x:c r="G325" s="37" t="str">
        <x:f>IF(OR(B325="",$I$6&lt;&gt;"Complete"),"",SUMIFS($D$32:$D$51,$C$32:$C$51,B325,$I$32:$I$51,"Ready"))</x:f>
      </x:c>
      <x:c r="H325" s="37" t="str">
        <x:f>IF(OR(B325="",$I$6&lt;&gt;"Complete"),"",SUMIFS($E$32:$E$51,$C$32:$C$51,B325,$I$32:$I$51,"Ready"))</x:f>
      </x:c>
      <x:c r="I325" s="37" t="str">
        <x:f>IF(OR(B325="",$I$6&lt;&gt;"Complete"),"",I324+E325+G325-H325)</x:f>
      </x:c>
      <x:c r="J325" s="37" t="str">
        <x:f>IF(OR(B325="",$I$6&lt;&gt;"Complete"),"",'Inputs'!$C$49)</x:f>
      </x:c>
      <x:c r="K325" s="37" t="str">
        <x:f>IF(OR(B325="",$I$6&lt;&gt;"Complete"),"",I325-J325)</x:f>
      </x:c>
      <x:c r="L325" s="61" t="str">
        <x:f>IF(OR(B325="",$I$6&lt;&gt;"Complete"),"",IF(K325&lt;0,1,0))</x:f>
      </x:c>
    </x:row>
    <x:row r="326" ht="23" customHeight="1">
      <x:c r="A326" s="2"/>
      <x:c r="B326" s="60" t="str">
        <x:f>IF($D$6&lt;&gt;"Complete","",IF('Inputs'!$C$47+256&lt;=$D$9,'Inputs'!$C$47+256,""))</x:f>
      </x:c>
      <x:c r="C326" s="37" t="str">
        <x:f>IF(B326="","",SUMIFS($D$14:$D$23,$C$14:$C$23,B326))</x:f>
      </x:c>
      <x:c r="D326" s="37" t="str">
        <x:f>IF(B326="","",SUMIFS($E$14:$E$23,$C$14:$C$23,B326))</x:f>
      </x:c>
      <x:c r="E326" s="37" t="str">
        <x:f>IF(B326="","",C326-D326)</x:f>
      </x:c>
      <x:c r="F326" s="37" t="str">
        <x:f>IF(B326="","",F325+E326)</x:f>
      </x:c>
      <x:c r="G326" s="37" t="str">
        <x:f>IF(OR(B326="",$I$6&lt;&gt;"Complete"),"",SUMIFS($D$32:$D$51,$C$32:$C$51,B326,$I$32:$I$51,"Ready"))</x:f>
      </x:c>
      <x:c r="H326" s="37" t="str">
        <x:f>IF(OR(B326="",$I$6&lt;&gt;"Complete"),"",SUMIFS($E$32:$E$51,$C$32:$C$51,B326,$I$32:$I$51,"Ready"))</x:f>
      </x:c>
      <x:c r="I326" s="37" t="str">
        <x:f>IF(OR(B326="",$I$6&lt;&gt;"Complete"),"",I325+E326+G326-H326)</x:f>
      </x:c>
      <x:c r="J326" s="37" t="str">
        <x:f>IF(OR(B326="",$I$6&lt;&gt;"Complete"),"",'Inputs'!$C$49)</x:f>
      </x:c>
      <x:c r="K326" s="37" t="str">
        <x:f>IF(OR(B326="",$I$6&lt;&gt;"Complete"),"",I326-J326)</x:f>
      </x:c>
      <x:c r="L326" s="61" t="str">
        <x:f>IF(OR(B326="",$I$6&lt;&gt;"Complete"),"",IF(K326&lt;0,1,0))</x:f>
      </x:c>
    </x:row>
    <x:row r="327" ht="23" customHeight="1">
      <x:c r="A327" s="2"/>
      <x:c r="B327" s="60" t="str">
        <x:f>IF($D$6&lt;&gt;"Complete","",IF('Inputs'!$C$47+257&lt;=$D$9,'Inputs'!$C$47+257,""))</x:f>
      </x:c>
      <x:c r="C327" s="37" t="str">
        <x:f>IF(B327="","",SUMIFS($D$14:$D$23,$C$14:$C$23,B327))</x:f>
      </x:c>
      <x:c r="D327" s="37" t="str">
        <x:f>IF(B327="","",SUMIFS($E$14:$E$23,$C$14:$C$23,B327))</x:f>
      </x:c>
      <x:c r="E327" s="37" t="str">
        <x:f>IF(B327="","",C327-D327)</x:f>
      </x:c>
      <x:c r="F327" s="37" t="str">
        <x:f>IF(B327="","",F326+E327)</x:f>
      </x:c>
      <x:c r="G327" s="37" t="str">
        <x:f>IF(OR(B327="",$I$6&lt;&gt;"Complete"),"",SUMIFS($D$32:$D$51,$C$32:$C$51,B327,$I$32:$I$51,"Ready"))</x:f>
      </x:c>
      <x:c r="H327" s="37" t="str">
        <x:f>IF(OR(B327="",$I$6&lt;&gt;"Complete"),"",SUMIFS($E$32:$E$51,$C$32:$C$51,B327,$I$32:$I$51,"Ready"))</x:f>
      </x:c>
      <x:c r="I327" s="37" t="str">
        <x:f>IF(OR(B327="",$I$6&lt;&gt;"Complete"),"",I326+E327+G327-H327)</x:f>
      </x:c>
      <x:c r="J327" s="37" t="str">
        <x:f>IF(OR(B327="",$I$6&lt;&gt;"Complete"),"",'Inputs'!$C$49)</x:f>
      </x:c>
      <x:c r="K327" s="37" t="str">
        <x:f>IF(OR(B327="",$I$6&lt;&gt;"Complete"),"",I327-J327)</x:f>
      </x:c>
      <x:c r="L327" s="61" t="str">
        <x:f>IF(OR(B327="",$I$6&lt;&gt;"Complete"),"",IF(K327&lt;0,1,0))</x:f>
      </x:c>
    </x:row>
    <x:row r="328" ht="23" customHeight="1">
      <x:c r="A328" s="2"/>
      <x:c r="B328" s="60" t="str">
        <x:f>IF($D$6&lt;&gt;"Complete","",IF('Inputs'!$C$47+258&lt;=$D$9,'Inputs'!$C$47+258,""))</x:f>
      </x:c>
      <x:c r="C328" s="37" t="str">
        <x:f>IF(B328="","",SUMIFS($D$14:$D$23,$C$14:$C$23,B328))</x:f>
      </x:c>
      <x:c r="D328" s="37" t="str">
        <x:f>IF(B328="","",SUMIFS($E$14:$E$23,$C$14:$C$23,B328))</x:f>
      </x:c>
      <x:c r="E328" s="37" t="str">
        <x:f>IF(B328="","",C328-D328)</x:f>
      </x:c>
      <x:c r="F328" s="37" t="str">
        <x:f>IF(B328="","",F327+E328)</x:f>
      </x:c>
      <x:c r="G328" s="37" t="str">
        <x:f>IF(OR(B328="",$I$6&lt;&gt;"Complete"),"",SUMIFS($D$32:$D$51,$C$32:$C$51,B328,$I$32:$I$51,"Ready"))</x:f>
      </x:c>
      <x:c r="H328" s="37" t="str">
        <x:f>IF(OR(B328="",$I$6&lt;&gt;"Complete"),"",SUMIFS($E$32:$E$51,$C$32:$C$51,B328,$I$32:$I$51,"Ready"))</x:f>
      </x:c>
      <x:c r="I328" s="37" t="str">
        <x:f>IF(OR(B328="",$I$6&lt;&gt;"Complete"),"",I327+E328+G328-H328)</x:f>
      </x:c>
      <x:c r="J328" s="37" t="str">
        <x:f>IF(OR(B328="",$I$6&lt;&gt;"Complete"),"",'Inputs'!$C$49)</x:f>
      </x:c>
      <x:c r="K328" s="37" t="str">
        <x:f>IF(OR(B328="",$I$6&lt;&gt;"Complete"),"",I328-J328)</x:f>
      </x:c>
      <x:c r="L328" s="61" t="str">
        <x:f>IF(OR(B328="",$I$6&lt;&gt;"Complete"),"",IF(K328&lt;0,1,0))</x:f>
      </x:c>
    </x:row>
    <x:row r="329" ht="23" customHeight="1">
      <x:c r="A329" s="2"/>
      <x:c r="B329" s="60" t="str">
        <x:f>IF($D$6&lt;&gt;"Complete","",IF('Inputs'!$C$47+259&lt;=$D$9,'Inputs'!$C$47+259,""))</x:f>
      </x:c>
      <x:c r="C329" s="37" t="str">
        <x:f>IF(B329="","",SUMIFS($D$14:$D$23,$C$14:$C$23,B329))</x:f>
      </x:c>
      <x:c r="D329" s="37" t="str">
        <x:f>IF(B329="","",SUMIFS($E$14:$E$23,$C$14:$C$23,B329))</x:f>
      </x:c>
      <x:c r="E329" s="37" t="str">
        <x:f>IF(B329="","",C329-D329)</x:f>
      </x:c>
      <x:c r="F329" s="37" t="str">
        <x:f>IF(B329="","",F328+E329)</x:f>
      </x:c>
      <x:c r="G329" s="37" t="str">
        <x:f>IF(OR(B329="",$I$6&lt;&gt;"Complete"),"",SUMIFS($D$32:$D$51,$C$32:$C$51,B329,$I$32:$I$51,"Ready"))</x:f>
      </x:c>
      <x:c r="H329" s="37" t="str">
        <x:f>IF(OR(B329="",$I$6&lt;&gt;"Complete"),"",SUMIFS($E$32:$E$51,$C$32:$C$51,B329,$I$32:$I$51,"Ready"))</x:f>
      </x:c>
      <x:c r="I329" s="37" t="str">
        <x:f>IF(OR(B329="",$I$6&lt;&gt;"Complete"),"",I328+E329+G329-H329)</x:f>
      </x:c>
      <x:c r="J329" s="37" t="str">
        <x:f>IF(OR(B329="",$I$6&lt;&gt;"Complete"),"",'Inputs'!$C$49)</x:f>
      </x:c>
      <x:c r="K329" s="37" t="str">
        <x:f>IF(OR(B329="",$I$6&lt;&gt;"Complete"),"",I329-J329)</x:f>
      </x:c>
      <x:c r="L329" s="61" t="str">
        <x:f>IF(OR(B329="",$I$6&lt;&gt;"Complete"),"",IF(K329&lt;0,1,0))</x:f>
      </x:c>
    </x:row>
    <x:row r="330" ht="23" customHeight="1">
      <x:c r="A330" s="2"/>
      <x:c r="B330" s="60" t="str">
        <x:f>IF($D$6&lt;&gt;"Complete","",IF('Inputs'!$C$47+260&lt;=$D$9,'Inputs'!$C$47+260,""))</x:f>
      </x:c>
      <x:c r="C330" s="37" t="str">
        <x:f>IF(B330="","",SUMIFS($D$14:$D$23,$C$14:$C$23,B330))</x:f>
      </x:c>
      <x:c r="D330" s="37" t="str">
        <x:f>IF(B330="","",SUMIFS($E$14:$E$23,$C$14:$C$23,B330))</x:f>
      </x:c>
      <x:c r="E330" s="37" t="str">
        <x:f>IF(B330="","",C330-D330)</x:f>
      </x:c>
      <x:c r="F330" s="37" t="str">
        <x:f>IF(B330="","",F329+E330)</x:f>
      </x:c>
      <x:c r="G330" s="37" t="str">
        <x:f>IF(OR(B330="",$I$6&lt;&gt;"Complete"),"",SUMIFS($D$32:$D$51,$C$32:$C$51,B330,$I$32:$I$51,"Ready"))</x:f>
      </x:c>
      <x:c r="H330" s="37" t="str">
        <x:f>IF(OR(B330="",$I$6&lt;&gt;"Complete"),"",SUMIFS($E$32:$E$51,$C$32:$C$51,B330,$I$32:$I$51,"Ready"))</x:f>
      </x:c>
      <x:c r="I330" s="37" t="str">
        <x:f>IF(OR(B330="",$I$6&lt;&gt;"Complete"),"",I329+E330+G330-H330)</x:f>
      </x:c>
      <x:c r="J330" s="37" t="str">
        <x:f>IF(OR(B330="",$I$6&lt;&gt;"Complete"),"",'Inputs'!$C$49)</x:f>
      </x:c>
      <x:c r="K330" s="37" t="str">
        <x:f>IF(OR(B330="",$I$6&lt;&gt;"Complete"),"",I330-J330)</x:f>
      </x:c>
      <x:c r="L330" s="61" t="str">
        <x:f>IF(OR(B330="",$I$6&lt;&gt;"Complete"),"",IF(K330&lt;0,1,0))</x:f>
      </x:c>
    </x:row>
    <x:row r="331" ht="23" customHeight="1">
      <x:c r="A331" s="2"/>
      <x:c r="B331" s="60" t="str">
        <x:f>IF($D$6&lt;&gt;"Complete","",IF('Inputs'!$C$47+261&lt;=$D$9,'Inputs'!$C$47+261,""))</x:f>
      </x:c>
      <x:c r="C331" s="37" t="str">
        <x:f>IF(B331="","",SUMIFS($D$14:$D$23,$C$14:$C$23,B331))</x:f>
      </x:c>
      <x:c r="D331" s="37" t="str">
        <x:f>IF(B331="","",SUMIFS($E$14:$E$23,$C$14:$C$23,B331))</x:f>
      </x:c>
      <x:c r="E331" s="37" t="str">
        <x:f>IF(B331="","",C331-D331)</x:f>
      </x:c>
      <x:c r="F331" s="37" t="str">
        <x:f>IF(B331="","",F330+E331)</x:f>
      </x:c>
      <x:c r="G331" s="37" t="str">
        <x:f>IF(OR(B331="",$I$6&lt;&gt;"Complete"),"",SUMIFS($D$32:$D$51,$C$32:$C$51,B331,$I$32:$I$51,"Ready"))</x:f>
      </x:c>
      <x:c r="H331" s="37" t="str">
        <x:f>IF(OR(B331="",$I$6&lt;&gt;"Complete"),"",SUMIFS($E$32:$E$51,$C$32:$C$51,B331,$I$32:$I$51,"Ready"))</x:f>
      </x:c>
      <x:c r="I331" s="37" t="str">
        <x:f>IF(OR(B331="",$I$6&lt;&gt;"Complete"),"",I330+E331+G331-H331)</x:f>
      </x:c>
      <x:c r="J331" s="37" t="str">
        <x:f>IF(OR(B331="",$I$6&lt;&gt;"Complete"),"",'Inputs'!$C$49)</x:f>
      </x:c>
      <x:c r="K331" s="37" t="str">
        <x:f>IF(OR(B331="",$I$6&lt;&gt;"Complete"),"",I331-J331)</x:f>
      </x:c>
      <x:c r="L331" s="61" t="str">
        <x:f>IF(OR(B331="",$I$6&lt;&gt;"Complete"),"",IF(K331&lt;0,1,0))</x:f>
      </x:c>
    </x:row>
    <x:row r="332" ht="23" customHeight="1">
      <x:c r="A332" s="2"/>
      <x:c r="B332" s="60" t="str">
        <x:f>IF($D$6&lt;&gt;"Complete","",IF('Inputs'!$C$47+262&lt;=$D$9,'Inputs'!$C$47+262,""))</x:f>
      </x:c>
      <x:c r="C332" s="37" t="str">
        <x:f>IF(B332="","",SUMIFS($D$14:$D$23,$C$14:$C$23,B332))</x:f>
      </x:c>
      <x:c r="D332" s="37" t="str">
        <x:f>IF(B332="","",SUMIFS($E$14:$E$23,$C$14:$C$23,B332))</x:f>
      </x:c>
      <x:c r="E332" s="37" t="str">
        <x:f>IF(B332="","",C332-D332)</x:f>
      </x:c>
      <x:c r="F332" s="37" t="str">
        <x:f>IF(B332="","",F331+E332)</x:f>
      </x:c>
      <x:c r="G332" s="37" t="str">
        <x:f>IF(OR(B332="",$I$6&lt;&gt;"Complete"),"",SUMIFS($D$32:$D$51,$C$32:$C$51,B332,$I$32:$I$51,"Ready"))</x:f>
      </x:c>
      <x:c r="H332" s="37" t="str">
        <x:f>IF(OR(B332="",$I$6&lt;&gt;"Complete"),"",SUMIFS($E$32:$E$51,$C$32:$C$51,B332,$I$32:$I$51,"Ready"))</x:f>
      </x:c>
      <x:c r="I332" s="37" t="str">
        <x:f>IF(OR(B332="",$I$6&lt;&gt;"Complete"),"",I331+E332+G332-H332)</x:f>
      </x:c>
      <x:c r="J332" s="37" t="str">
        <x:f>IF(OR(B332="",$I$6&lt;&gt;"Complete"),"",'Inputs'!$C$49)</x:f>
      </x:c>
      <x:c r="K332" s="37" t="str">
        <x:f>IF(OR(B332="",$I$6&lt;&gt;"Complete"),"",I332-J332)</x:f>
      </x:c>
      <x:c r="L332" s="61" t="str">
        <x:f>IF(OR(B332="",$I$6&lt;&gt;"Complete"),"",IF(K332&lt;0,1,0))</x:f>
      </x:c>
    </x:row>
    <x:row r="333" ht="23" customHeight="1">
      <x:c r="A333" s="2"/>
      <x:c r="B333" s="60" t="str">
        <x:f>IF($D$6&lt;&gt;"Complete","",IF('Inputs'!$C$47+263&lt;=$D$9,'Inputs'!$C$47+263,""))</x:f>
      </x:c>
      <x:c r="C333" s="37" t="str">
        <x:f>IF(B333="","",SUMIFS($D$14:$D$23,$C$14:$C$23,B333))</x:f>
      </x:c>
      <x:c r="D333" s="37" t="str">
        <x:f>IF(B333="","",SUMIFS($E$14:$E$23,$C$14:$C$23,B333))</x:f>
      </x:c>
      <x:c r="E333" s="37" t="str">
        <x:f>IF(B333="","",C333-D333)</x:f>
      </x:c>
      <x:c r="F333" s="37" t="str">
        <x:f>IF(B333="","",F332+E333)</x:f>
      </x:c>
      <x:c r="G333" s="37" t="str">
        <x:f>IF(OR(B333="",$I$6&lt;&gt;"Complete"),"",SUMIFS($D$32:$D$51,$C$32:$C$51,B333,$I$32:$I$51,"Ready"))</x:f>
      </x:c>
      <x:c r="H333" s="37" t="str">
        <x:f>IF(OR(B333="",$I$6&lt;&gt;"Complete"),"",SUMIFS($E$32:$E$51,$C$32:$C$51,B333,$I$32:$I$51,"Ready"))</x:f>
      </x:c>
      <x:c r="I333" s="37" t="str">
        <x:f>IF(OR(B333="",$I$6&lt;&gt;"Complete"),"",I332+E333+G333-H333)</x:f>
      </x:c>
      <x:c r="J333" s="37" t="str">
        <x:f>IF(OR(B333="",$I$6&lt;&gt;"Complete"),"",'Inputs'!$C$49)</x:f>
      </x:c>
      <x:c r="K333" s="37" t="str">
        <x:f>IF(OR(B333="",$I$6&lt;&gt;"Complete"),"",I333-J333)</x:f>
      </x:c>
      <x:c r="L333" s="61" t="str">
        <x:f>IF(OR(B333="",$I$6&lt;&gt;"Complete"),"",IF(K333&lt;0,1,0))</x:f>
      </x:c>
    </x:row>
    <x:row r="334" ht="23" customHeight="1">
      <x:c r="A334" s="2"/>
      <x:c r="B334" s="60" t="str">
        <x:f>IF($D$6&lt;&gt;"Complete","",IF('Inputs'!$C$47+264&lt;=$D$9,'Inputs'!$C$47+264,""))</x:f>
      </x:c>
      <x:c r="C334" s="37" t="str">
        <x:f>IF(B334="","",SUMIFS($D$14:$D$23,$C$14:$C$23,B334))</x:f>
      </x:c>
      <x:c r="D334" s="37" t="str">
        <x:f>IF(B334="","",SUMIFS($E$14:$E$23,$C$14:$C$23,B334))</x:f>
      </x:c>
      <x:c r="E334" s="37" t="str">
        <x:f>IF(B334="","",C334-D334)</x:f>
      </x:c>
      <x:c r="F334" s="37" t="str">
        <x:f>IF(B334="","",F333+E334)</x:f>
      </x:c>
      <x:c r="G334" s="37" t="str">
        <x:f>IF(OR(B334="",$I$6&lt;&gt;"Complete"),"",SUMIFS($D$32:$D$51,$C$32:$C$51,B334,$I$32:$I$51,"Ready"))</x:f>
      </x:c>
      <x:c r="H334" s="37" t="str">
        <x:f>IF(OR(B334="",$I$6&lt;&gt;"Complete"),"",SUMIFS($E$32:$E$51,$C$32:$C$51,B334,$I$32:$I$51,"Ready"))</x:f>
      </x:c>
      <x:c r="I334" s="37" t="str">
        <x:f>IF(OR(B334="",$I$6&lt;&gt;"Complete"),"",I333+E334+G334-H334)</x:f>
      </x:c>
      <x:c r="J334" s="37" t="str">
        <x:f>IF(OR(B334="",$I$6&lt;&gt;"Complete"),"",'Inputs'!$C$49)</x:f>
      </x:c>
      <x:c r="K334" s="37" t="str">
        <x:f>IF(OR(B334="",$I$6&lt;&gt;"Complete"),"",I334-J334)</x:f>
      </x:c>
      <x:c r="L334" s="61" t="str">
        <x:f>IF(OR(B334="",$I$6&lt;&gt;"Complete"),"",IF(K334&lt;0,1,0))</x:f>
      </x:c>
    </x:row>
    <x:row r="335" ht="23" customHeight="1">
      <x:c r="A335" s="2"/>
      <x:c r="B335" s="60" t="str">
        <x:f>IF($D$6&lt;&gt;"Complete","",IF('Inputs'!$C$47+265&lt;=$D$9,'Inputs'!$C$47+265,""))</x:f>
      </x:c>
      <x:c r="C335" s="37" t="str">
        <x:f>IF(B335="","",SUMIFS($D$14:$D$23,$C$14:$C$23,B335))</x:f>
      </x:c>
      <x:c r="D335" s="37" t="str">
        <x:f>IF(B335="","",SUMIFS($E$14:$E$23,$C$14:$C$23,B335))</x:f>
      </x:c>
      <x:c r="E335" s="37" t="str">
        <x:f>IF(B335="","",C335-D335)</x:f>
      </x:c>
      <x:c r="F335" s="37" t="str">
        <x:f>IF(B335="","",F334+E335)</x:f>
      </x:c>
      <x:c r="G335" s="37" t="str">
        <x:f>IF(OR(B335="",$I$6&lt;&gt;"Complete"),"",SUMIFS($D$32:$D$51,$C$32:$C$51,B335,$I$32:$I$51,"Ready"))</x:f>
      </x:c>
      <x:c r="H335" s="37" t="str">
        <x:f>IF(OR(B335="",$I$6&lt;&gt;"Complete"),"",SUMIFS($E$32:$E$51,$C$32:$C$51,B335,$I$32:$I$51,"Ready"))</x:f>
      </x:c>
      <x:c r="I335" s="37" t="str">
        <x:f>IF(OR(B335="",$I$6&lt;&gt;"Complete"),"",I334+E335+G335-H335)</x:f>
      </x:c>
      <x:c r="J335" s="37" t="str">
        <x:f>IF(OR(B335="",$I$6&lt;&gt;"Complete"),"",'Inputs'!$C$49)</x:f>
      </x:c>
      <x:c r="K335" s="37" t="str">
        <x:f>IF(OR(B335="",$I$6&lt;&gt;"Complete"),"",I335-J335)</x:f>
      </x:c>
      <x:c r="L335" s="61" t="str">
        <x:f>IF(OR(B335="",$I$6&lt;&gt;"Complete"),"",IF(K335&lt;0,1,0))</x:f>
      </x:c>
    </x:row>
    <x:row r="336" ht="23" customHeight="1">
      <x:c r="A336" s="2"/>
      <x:c r="B336" s="60" t="str">
        <x:f>IF($D$6&lt;&gt;"Complete","",IF('Inputs'!$C$47+266&lt;=$D$9,'Inputs'!$C$47+266,""))</x:f>
      </x:c>
      <x:c r="C336" s="37" t="str">
        <x:f>IF(B336="","",SUMIFS($D$14:$D$23,$C$14:$C$23,B336))</x:f>
      </x:c>
      <x:c r="D336" s="37" t="str">
        <x:f>IF(B336="","",SUMIFS($E$14:$E$23,$C$14:$C$23,B336))</x:f>
      </x:c>
      <x:c r="E336" s="37" t="str">
        <x:f>IF(B336="","",C336-D336)</x:f>
      </x:c>
      <x:c r="F336" s="37" t="str">
        <x:f>IF(B336="","",F335+E336)</x:f>
      </x:c>
      <x:c r="G336" s="37" t="str">
        <x:f>IF(OR(B336="",$I$6&lt;&gt;"Complete"),"",SUMIFS($D$32:$D$51,$C$32:$C$51,B336,$I$32:$I$51,"Ready"))</x:f>
      </x:c>
      <x:c r="H336" s="37" t="str">
        <x:f>IF(OR(B336="",$I$6&lt;&gt;"Complete"),"",SUMIFS($E$32:$E$51,$C$32:$C$51,B336,$I$32:$I$51,"Ready"))</x:f>
      </x:c>
      <x:c r="I336" s="37" t="str">
        <x:f>IF(OR(B336="",$I$6&lt;&gt;"Complete"),"",I335+E336+G336-H336)</x:f>
      </x:c>
      <x:c r="J336" s="37" t="str">
        <x:f>IF(OR(B336="",$I$6&lt;&gt;"Complete"),"",'Inputs'!$C$49)</x:f>
      </x:c>
      <x:c r="K336" s="37" t="str">
        <x:f>IF(OR(B336="",$I$6&lt;&gt;"Complete"),"",I336-J336)</x:f>
      </x:c>
      <x:c r="L336" s="61" t="str">
        <x:f>IF(OR(B336="",$I$6&lt;&gt;"Complete"),"",IF(K336&lt;0,1,0))</x:f>
      </x:c>
    </x:row>
    <x:row r="337" ht="23" customHeight="1">
      <x:c r="A337" s="2"/>
      <x:c r="B337" s="60" t="str">
        <x:f>IF($D$6&lt;&gt;"Complete","",IF('Inputs'!$C$47+267&lt;=$D$9,'Inputs'!$C$47+267,""))</x:f>
      </x:c>
      <x:c r="C337" s="37" t="str">
        <x:f>IF(B337="","",SUMIFS($D$14:$D$23,$C$14:$C$23,B337))</x:f>
      </x:c>
      <x:c r="D337" s="37" t="str">
        <x:f>IF(B337="","",SUMIFS($E$14:$E$23,$C$14:$C$23,B337))</x:f>
      </x:c>
      <x:c r="E337" s="37" t="str">
        <x:f>IF(B337="","",C337-D337)</x:f>
      </x:c>
      <x:c r="F337" s="37" t="str">
        <x:f>IF(B337="","",F336+E337)</x:f>
      </x:c>
      <x:c r="G337" s="37" t="str">
        <x:f>IF(OR(B337="",$I$6&lt;&gt;"Complete"),"",SUMIFS($D$32:$D$51,$C$32:$C$51,B337,$I$32:$I$51,"Ready"))</x:f>
      </x:c>
      <x:c r="H337" s="37" t="str">
        <x:f>IF(OR(B337="",$I$6&lt;&gt;"Complete"),"",SUMIFS($E$32:$E$51,$C$32:$C$51,B337,$I$32:$I$51,"Ready"))</x:f>
      </x:c>
      <x:c r="I337" s="37" t="str">
        <x:f>IF(OR(B337="",$I$6&lt;&gt;"Complete"),"",I336+E337+G337-H337)</x:f>
      </x:c>
      <x:c r="J337" s="37" t="str">
        <x:f>IF(OR(B337="",$I$6&lt;&gt;"Complete"),"",'Inputs'!$C$49)</x:f>
      </x:c>
      <x:c r="K337" s="37" t="str">
        <x:f>IF(OR(B337="",$I$6&lt;&gt;"Complete"),"",I337-J337)</x:f>
      </x:c>
      <x:c r="L337" s="61" t="str">
        <x:f>IF(OR(B337="",$I$6&lt;&gt;"Complete"),"",IF(K337&lt;0,1,0))</x:f>
      </x:c>
    </x:row>
    <x:row r="338" ht="23" customHeight="1">
      <x:c r="A338" s="2"/>
      <x:c r="B338" s="60" t="str">
        <x:f>IF($D$6&lt;&gt;"Complete","",IF('Inputs'!$C$47+268&lt;=$D$9,'Inputs'!$C$47+268,""))</x:f>
      </x:c>
      <x:c r="C338" s="37" t="str">
        <x:f>IF(B338="","",SUMIFS($D$14:$D$23,$C$14:$C$23,B338))</x:f>
      </x:c>
      <x:c r="D338" s="37" t="str">
        <x:f>IF(B338="","",SUMIFS($E$14:$E$23,$C$14:$C$23,B338))</x:f>
      </x:c>
      <x:c r="E338" s="37" t="str">
        <x:f>IF(B338="","",C338-D338)</x:f>
      </x:c>
      <x:c r="F338" s="37" t="str">
        <x:f>IF(B338="","",F337+E338)</x:f>
      </x:c>
      <x:c r="G338" s="37" t="str">
        <x:f>IF(OR(B338="",$I$6&lt;&gt;"Complete"),"",SUMIFS($D$32:$D$51,$C$32:$C$51,B338,$I$32:$I$51,"Ready"))</x:f>
      </x:c>
      <x:c r="H338" s="37" t="str">
        <x:f>IF(OR(B338="",$I$6&lt;&gt;"Complete"),"",SUMIFS($E$32:$E$51,$C$32:$C$51,B338,$I$32:$I$51,"Ready"))</x:f>
      </x:c>
      <x:c r="I338" s="37" t="str">
        <x:f>IF(OR(B338="",$I$6&lt;&gt;"Complete"),"",I337+E338+G338-H338)</x:f>
      </x:c>
      <x:c r="J338" s="37" t="str">
        <x:f>IF(OR(B338="",$I$6&lt;&gt;"Complete"),"",'Inputs'!$C$49)</x:f>
      </x:c>
      <x:c r="K338" s="37" t="str">
        <x:f>IF(OR(B338="",$I$6&lt;&gt;"Complete"),"",I338-J338)</x:f>
      </x:c>
      <x:c r="L338" s="61" t="str">
        <x:f>IF(OR(B338="",$I$6&lt;&gt;"Complete"),"",IF(K338&lt;0,1,0))</x:f>
      </x:c>
    </x:row>
    <x:row r="339" ht="23" customHeight="1">
      <x:c r="A339" s="2"/>
      <x:c r="B339" s="60" t="str">
        <x:f>IF($D$6&lt;&gt;"Complete","",IF('Inputs'!$C$47+269&lt;=$D$9,'Inputs'!$C$47+269,""))</x:f>
      </x:c>
      <x:c r="C339" s="37" t="str">
        <x:f>IF(B339="","",SUMIFS($D$14:$D$23,$C$14:$C$23,B339))</x:f>
      </x:c>
      <x:c r="D339" s="37" t="str">
        <x:f>IF(B339="","",SUMIFS($E$14:$E$23,$C$14:$C$23,B339))</x:f>
      </x:c>
      <x:c r="E339" s="37" t="str">
        <x:f>IF(B339="","",C339-D339)</x:f>
      </x:c>
      <x:c r="F339" s="37" t="str">
        <x:f>IF(B339="","",F338+E339)</x:f>
      </x:c>
      <x:c r="G339" s="37" t="str">
        <x:f>IF(OR(B339="",$I$6&lt;&gt;"Complete"),"",SUMIFS($D$32:$D$51,$C$32:$C$51,B339,$I$32:$I$51,"Ready"))</x:f>
      </x:c>
      <x:c r="H339" s="37" t="str">
        <x:f>IF(OR(B339="",$I$6&lt;&gt;"Complete"),"",SUMIFS($E$32:$E$51,$C$32:$C$51,B339,$I$32:$I$51,"Ready"))</x:f>
      </x:c>
      <x:c r="I339" s="37" t="str">
        <x:f>IF(OR(B339="",$I$6&lt;&gt;"Complete"),"",I338+E339+G339-H339)</x:f>
      </x:c>
      <x:c r="J339" s="37" t="str">
        <x:f>IF(OR(B339="",$I$6&lt;&gt;"Complete"),"",'Inputs'!$C$49)</x:f>
      </x:c>
      <x:c r="K339" s="37" t="str">
        <x:f>IF(OR(B339="",$I$6&lt;&gt;"Complete"),"",I339-J339)</x:f>
      </x:c>
      <x:c r="L339" s="61" t="str">
        <x:f>IF(OR(B339="",$I$6&lt;&gt;"Complete"),"",IF(K339&lt;0,1,0))</x:f>
      </x:c>
    </x:row>
    <x:row r="340" ht="23" customHeight="1">
      <x:c r="A340" s="2"/>
      <x:c r="B340" s="60" t="str">
        <x:f>IF($D$6&lt;&gt;"Complete","",IF('Inputs'!$C$47+270&lt;=$D$9,'Inputs'!$C$47+270,""))</x:f>
      </x:c>
      <x:c r="C340" s="37" t="str">
        <x:f>IF(B340="","",SUMIFS($D$14:$D$23,$C$14:$C$23,B340))</x:f>
      </x:c>
      <x:c r="D340" s="37" t="str">
        <x:f>IF(B340="","",SUMIFS($E$14:$E$23,$C$14:$C$23,B340))</x:f>
      </x:c>
      <x:c r="E340" s="37" t="str">
        <x:f>IF(B340="","",C340-D340)</x:f>
      </x:c>
      <x:c r="F340" s="37" t="str">
        <x:f>IF(B340="","",F339+E340)</x:f>
      </x:c>
      <x:c r="G340" s="37" t="str">
        <x:f>IF(OR(B340="",$I$6&lt;&gt;"Complete"),"",SUMIFS($D$32:$D$51,$C$32:$C$51,B340,$I$32:$I$51,"Ready"))</x:f>
      </x:c>
      <x:c r="H340" s="37" t="str">
        <x:f>IF(OR(B340="",$I$6&lt;&gt;"Complete"),"",SUMIFS($E$32:$E$51,$C$32:$C$51,B340,$I$32:$I$51,"Ready"))</x:f>
      </x:c>
      <x:c r="I340" s="37" t="str">
        <x:f>IF(OR(B340="",$I$6&lt;&gt;"Complete"),"",I339+E340+G340-H340)</x:f>
      </x:c>
      <x:c r="J340" s="37" t="str">
        <x:f>IF(OR(B340="",$I$6&lt;&gt;"Complete"),"",'Inputs'!$C$49)</x:f>
      </x:c>
      <x:c r="K340" s="37" t="str">
        <x:f>IF(OR(B340="",$I$6&lt;&gt;"Complete"),"",I340-J340)</x:f>
      </x:c>
      <x:c r="L340" s="61" t="str">
        <x:f>IF(OR(B340="",$I$6&lt;&gt;"Complete"),"",IF(K340&lt;0,1,0))</x:f>
      </x:c>
    </x:row>
    <x:row r="341" ht="23" customHeight="1">
      <x:c r="A341" s="2"/>
      <x:c r="B341" s="60" t="str">
        <x:f>IF($D$6&lt;&gt;"Complete","",IF('Inputs'!$C$47+271&lt;=$D$9,'Inputs'!$C$47+271,""))</x:f>
      </x:c>
      <x:c r="C341" s="37" t="str">
        <x:f>IF(B341="","",SUMIFS($D$14:$D$23,$C$14:$C$23,B341))</x:f>
      </x:c>
      <x:c r="D341" s="37" t="str">
        <x:f>IF(B341="","",SUMIFS($E$14:$E$23,$C$14:$C$23,B341))</x:f>
      </x:c>
      <x:c r="E341" s="37" t="str">
        <x:f>IF(B341="","",C341-D341)</x:f>
      </x:c>
      <x:c r="F341" s="37" t="str">
        <x:f>IF(B341="","",F340+E341)</x:f>
      </x:c>
      <x:c r="G341" s="37" t="str">
        <x:f>IF(OR(B341="",$I$6&lt;&gt;"Complete"),"",SUMIFS($D$32:$D$51,$C$32:$C$51,B341,$I$32:$I$51,"Ready"))</x:f>
      </x:c>
      <x:c r="H341" s="37" t="str">
        <x:f>IF(OR(B341="",$I$6&lt;&gt;"Complete"),"",SUMIFS($E$32:$E$51,$C$32:$C$51,B341,$I$32:$I$51,"Ready"))</x:f>
      </x:c>
      <x:c r="I341" s="37" t="str">
        <x:f>IF(OR(B341="",$I$6&lt;&gt;"Complete"),"",I340+E341+G341-H341)</x:f>
      </x:c>
      <x:c r="J341" s="37" t="str">
        <x:f>IF(OR(B341="",$I$6&lt;&gt;"Complete"),"",'Inputs'!$C$49)</x:f>
      </x:c>
      <x:c r="K341" s="37" t="str">
        <x:f>IF(OR(B341="",$I$6&lt;&gt;"Complete"),"",I341-J341)</x:f>
      </x:c>
      <x:c r="L341" s="61" t="str">
        <x:f>IF(OR(B341="",$I$6&lt;&gt;"Complete"),"",IF(K341&lt;0,1,0))</x:f>
      </x:c>
    </x:row>
    <x:row r="342" ht="23" customHeight="1">
      <x:c r="A342" s="2"/>
      <x:c r="B342" s="60" t="str">
        <x:f>IF($D$6&lt;&gt;"Complete","",IF('Inputs'!$C$47+272&lt;=$D$9,'Inputs'!$C$47+272,""))</x:f>
      </x:c>
      <x:c r="C342" s="37" t="str">
        <x:f>IF(B342="","",SUMIFS($D$14:$D$23,$C$14:$C$23,B342))</x:f>
      </x:c>
      <x:c r="D342" s="37" t="str">
        <x:f>IF(B342="","",SUMIFS($E$14:$E$23,$C$14:$C$23,B342))</x:f>
      </x:c>
      <x:c r="E342" s="37" t="str">
        <x:f>IF(B342="","",C342-D342)</x:f>
      </x:c>
      <x:c r="F342" s="37" t="str">
        <x:f>IF(B342="","",F341+E342)</x:f>
      </x:c>
      <x:c r="G342" s="37" t="str">
        <x:f>IF(OR(B342="",$I$6&lt;&gt;"Complete"),"",SUMIFS($D$32:$D$51,$C$32:$C$51,B342,$I$32:$I$51,"Ready"))</x:f>
      </x:c>
      <x:c r="H342" s="37" t="str">
        <x:f>IF(OR(B342="",$I$6&lt;&gt;"Complete"),"",SUMIFS($E$32:$E$51,$C$32:$C$51,B342,$I$32:$I$51,"Ready"))</x:f>
      </x:c>
      <x:c r="I342" s="37" t="str">
        <x:f>IF(OR(B342="",$I$6&lt;&gt;"Complete"),"",I341+E342+G342-H342)</x:f>
      </x:c>
      <x:c r="J342" s="37" t="str">
        <x:f>IF(OR(B342="",$I$6&lt;&gt;"Complete"),"",'Inputs'!$C$49)</x:f>
      </x:c>
      <x:c r="K342" s="37" t="str">
        <x:f>IF(OR(B342="",$I$6&lt;&gt;"Complete"),"",I342-J342)</x:f>
      </x:c>
      <x:c r="L342" s="61" t="str">
        <x:f>IF(OR(B342="",$I$6&lt;&gt;"Complete"),"",IF(K342&lt;0,1,0))</x:f>
      </x:c>
    </x:row>
    <x:row r="343" ht="23" customHeight="1">
      <x:c r="A343" s="2"/>
      <x:c r="B343" s="60" t="str">
        <x:f>IF($D$6&lt;&gt;"Complete","",IF('Inputs'!$C$47+273&lt;=$D$9,'Inputs'!$C$47+273,""))</x:f>
      </x:c>
      <x:c r="C343" s="37" t="str">
        <x:f>IF(B343="","",SUMIFS($D$14:$D$23,$C$14:$C$23,B343))</x:f>
      </x:c>
      <x:c r="D343" s="37" t="str">
        <x:f>IF(B343="","",SUMIFS($E$14:$E$23,$C$14:$C$23,B343))</x:f>
      </x:c>
      <x:c r="E343" s="37" t="str">
        <x:f>IF(B343="","",C343-D343)</x:f>
      </x:c>
      <x:c r="F343" s="37" t="str">
        <x:f>IF(B343="","",F342+E343)</x:f>
      </x:c>
      <x:c r="G343" s="37" t="str">
        <x:f>IF(OR(B343="",$I$6&lt;&gt;"Complete"),"",SUMIFS($D$32:$D$51,$C$32:$C$51,B343,$I$32:$I$51,"Ready"))</x:f>
      </x:c>
      <x:c r="H343" s="37" t="str">
        <x:f>IF(OR(B343="",$I$6&lt;&gt;"Complete"),"",SUMIFS($E$32:$E$51,$C$32:$C$51,B343,$I$32:$I$51,"Ready"))</x:f>
      </x:c>
      <x:c r="I343" s="37" t="str">
        <x:f>IF(OR(B343="",$I$6&lt;&gt;"Complete"),"",I342+E343+G343-H343)</x:f>
      </x:c>
      <x:c r="J343" s="37" t="str">
        <x:f>IF(OR(B343="",$I$6&lt;&gt;"Complete"),"",'Inputs'!$C$49)</x:f>
      </x:c>
      <x:c r="K343" s="37" t="str">
        <x:f>IF(OR(B343="",$I$6&lt;&gt;"Complete"),"",I343-J343)</x:f>
      </x:c>
      <x:c r="L343" s="61" t="str">
        <x:f>IF(OR(B343="",$I$6&lt;&gt;"Complete"),"",IF(K343&lt;0,1,0))</x:f>
      </x:c>
    </x:row>
    <x:row r="344" ht="23" customHeight="1">
      <x:c r="A344" s="2"/>
      <x:c r="B344" s="60" t="str">
        <x:f>IF($D$6&lt;&gt;"Complete","",IF('Inputs'!$C$47+274&lt;=$D$9,'Inputs'!$C$47+274,""))</x:f>
      </x:c>
      <x:c r="C344" s="37" t="str">
        <x:f>IF(B344="","",SUMIFS($D$14:$D$23,$C$14:$C$23,B344))</x:f>
      </x:c>
      <x:c r="D344" s="37" t="str">
        <x:f>IF(B344="","",SUMIFS($E$14:$E$23,$C$14:$C$23,B344))</x:f>
      </x:c>
      <x:c r="E344" s="37" t="str">
        <x:f>IF(B344="","",C344-D344)</x:f>
      </x:c>
      <x:c r="F344" s="37" t="str">
        <x:f>IF(B344="","",F343+E344)</x:f>
      </x:c>
      <x:c r="G344" s="37" t="str">
        <x:f>IF(OR(B344="",$I$6&lt;&gt;"Complete"),"",SUMIFS($D$32:$D$51,$C$32:$C$51,B344,$I$32:$I$51,"Ready"))</x:f>
      </x:c>
      <x:c r="H344" s="37" t="str">
        <x:f>IF(OR(B344="",$I$6&lt;&gt;"Complete"),"",SUMIFS($E$32:$E$51,$C$32:$C$51,B344,$I$32:$I$51,"Ready"))</x:f>
      </x:c>
      <x:c r="I344" s="37" t="str">
        <x:f>IF(OR(B344="",$I$6&lt;&gt;"Complete"),"",I343+E344+G344-H344)</x:f>
      </x:c>
      <x:c r="J344" s="37" t="str">
        <x:f>IF(OR(B344="",$I$6&lt;&gt;"Complete"),"",'Inputs'!$C$49)</x:f>
      </x:c>
      <x:c r="K344" s="37" t="str">
        <x:f>IF(OR(B344="",$I$6&lt;&gt;"Complete"),"",I344-J344)</x:f>
      </x:c>
      <x:c r="L344" s="61" t="str">
        <x:f>IF(OR(B344="",$I$6&lt;&gt;"Complete"),"",IF(K344&lt;0,1,0))</x:f>
      </x:c>
    </x:row>
    <x:row r="345" ht="23" customHeight="1">
      <x:c r="A345" s="2"/>
      <x:c r="B345" s="60" t="str">
        <x:f>IF($D$6&lt;&gt;"Complete","",IF('Inputs'!$C$47+275&lt;=$D$9,'Inputs'!$C$47+275,""))</x:f>
      </x:c>
      <x:c r="C345" s="37" t="str">
        <x:f>IF(B345="","",SUMIFS($D$14:$D$23,$C$14:$C$23,B345))</x:f>
      </x:c>
      <x:c r="D345" s="37" t="str">
        <x:f>IF(B345="","",SUMIFS($E$14:$E$23,$C$14:$C$23,B345))</x:f>
      </x:c>
      <x:c r="E345" s="37" t="str">
        <x:f>IF(B345="","",C345-D345)</x:f>
      </x:c>
      <x:c r="F345" s="37" t="str">
        <x:f>IF(B345="","",F344+E345)</x:f>
      </x:c>
      <x:c r="G345" s="37" t="str">
        <x:f>IF(OR(B345="",$I$6&lt;&gt;"Complete"),"",SUMIFS($D$32:$D$51,$C$32:$C$51,B345,$I$32:$I$51,"Ready"))</x:f>
      </x:c>
      <x:c r="H345" s="37" t="str">
        <x:f>IF(OR(B345="",$I$6&lt;&gt;"Complete"),"",SUMIFS($E$32:$E$51,$C$32:$C$51,B345,$I$32:$I$51,"Ready"))</x:f>
      </x:c>
      <x:c r="I345" s="37" t="str">
        <x:f>IF(OR(B345="",$I$6&lt;&gt;"Complete"),"",I344+E345+G345-H345)</x:f>
      </x:c>
      <x:c r="J345" s="37" t="str">
        <x:f>IF(OR(B345="",$I$6&lt;&gt;"Complete"),"",'Inputs'!$C$49)</x:f>
      </x:c>
      <x:c r="K345" s="37" t="str">
        <x:f>IF(OR(B345="",$I$6&lt;&gt;"Complete"),"",I345-J345)</x:f>
      </x:c>
      <x:c r="L345" s="61" t="str">
        <x:f>IF(OR(B345="",$I$6&lt;&gt;"Complete"),"",IF(K345&lt;0,1,0))</x:f>
      </x:c>
    </x:row>
    <x:row r="346" ht="23" customHeight="1">
      <x:c r="A346" s="2"/>
      <x:c r="B346" s="60" t="str">
        <x:f>IF($D$6&lt;&gt;"Complete","",IF('Inputs'!$C$47+276&lt;=$D$9,'Inputs'!$C$47+276,""))</x:f>
      </x:c>
      <x:c r="C346" s="37" t="str">
        <x:f>IF(B346="","",SUMIFS($D$14:$D$23,$C$14:$C$23,B346))</x:f>
      </x:c>
      <x:c r="D346" s="37" t="str">
        <x:f>IF(B346="","",SUMIFS($E$14:$E$23,$C$14:$C$23,B346))</x:f>
      </x:c>
      <x:c r="E346" s="37" t="str">
        <x:f>IF(B346="","",C346-D346)</x:f>
      </x:c>
      <x:c r="F346" s="37" t="str">
        <x:f>IF(B346="","",F345+E346)</x:f>
      </x:c>
      <x:c r="G346" s="37" t="str">
        <x:f>IF(OR(B346="",$I$6&lt;&gt;"Complete"),"",SUMIFS($D$32:$D$51,$C$32:$C$51,B346,$I$32:$I$51,"Ready"))</x:f>
      </x:c>
      <x:c r="H346" s="37" t="str">
        <x:f>IF(OR(B346="",$I$6&lt;&gt;"Complete"),"",SUMIFS($E$32:$E$51,$C$32:$C$51,B346,$I$32:$I$51,"Ready"))</x:f>
      </x:c>
      <x:c r="I346" s="37" t="str">
        <x:f>IF(OR(B346="",$I$6&lt;&gt;"Complete"),"",I345+E346+G346-H346)</x:f>
      </x:c>
      <x:c r="J346" s="37" t="str">
        <x:f>IF(OR(B346="",$I$6&lt;&gt;"Complete"),"",'Inputs'!$C$49)</x:f>
      </x:c>
      <x:c r="K346" s="37" t="str">
        <x:f>IF(OR(B346="",$I$6&lt;&gt;"Complete"),"",I346-J346)</x:f>
      </x:c>
      <x:c r="L346" s="61" t="str">
        <x:f>IF(OR(B346="",$I$6&lt;&gt;"Complete"),"",IF(K346&lt;0,1,0))</x:f>
      </x:c>
    </x:row>
    <x:row r="347" ht="23" customHeight="1">
      <x:c r="A347" s="2"/>
      <x:c r="B347" s="60" t="str">
        <x:f>IF($D$6&lt;&gt;"Complete","",IF('Inputs'!$C$47+277&lt;=$D$9,'Inputs'!$C$47+277,""))</x:f>
      </x:c>
      <x:c r="C347" s="37" t="str">
        <x:f>IF(B347="","",SUMIFS($D$14:$D$23,$C$14:$C$23,B347))</x:f>
      </x:c>
      <x:c r="D347" s="37" t="str">
        <x:f>IF(B347="","",SUMIFS($E$14:$E$23,$C$14:$C$23,B347))</x:f>
      </x:c>
      <x:c r="E347" s="37" t="str">
        <x:f>IF(B347="","",C347-D347)</x:f>
      </x:c>
      <x:c r="F347" s="37" t="str">
        <x:f>IF(B347="","",F346+E347)</x:f>
      </x:c>
      <x:c r="G347" s="37" t="str">
        <x:f>IF(OR(B347="",$I$6&lt;&gt;"Complete"),"",SUMIFS($D$32:$D$51,$C$32:$C$51,B347,$I$32:$I$51,"Ready"))</x:f>
      </x:c>
      <x:c r="H347" s="37" t="str">
        <x:f>IF(OR(B347="",$I$6&lt;&gt;"Complete"),"",SUMIFS($E$32:$E$51,$C$32:$C$51,B347,$I$32:$I$51,"Ready"))</x:f>
      </x:c>
      <x:c r="I347" s="37" t="str">
        <x:f>IF(OR(B347="",$I$6&lt;&gt;"Complete"),"",I346+E347+G347-H347)</x:f>
      </x:c>
      <x:c r="J347" s="37" t="str">
        <x:f>IF(OR(B347="",$I$6&lt;&gt;"Complete"),"",'Inputs'!$C$49)</x:f>
      </x:c>
      <x:c r="K347" s="37" t="str">
        <x:f>IF(OR(B347="",$I$6&lt;&gt;"Complete"),"",I347-J347)</x:f>
      </x:c>
      <x:c r="L347" s="61" t="str">
        <x:f>IF(OR(B347="",$I$6&lt;&gt;"Complete"),"",IF(K347&lt;0,1,0))</x:f>
      </x:c>
    </x:row>
    <x:row r="348" ht="23" customHeight="1">
      <x:c r="A348" s="2"/>
      <x:c r="B348" s="60" t="str">
        <x:f>IF($D$6&lt;&gt;"Complete","",IF('Inputs'!$C$47+278&lt;=$D$9,'Inputs'!$C$47+278,""))</x:f>
      </x:c>
      <x:c r="C348" s="37" t="str">
        <x:f>IF(B348="","",SUMIFS($D$14:$D$23,$C$14:$C$23,B348))</x:f>
      </x:c>
      <x:c r="D348" s="37" t="str">
        <x:f>IF(B348="","",SUMIFS($E$14:$E$23,$C$14:$C$23,B348))</x:f>
      </x:c>
      <x:c r="E348" s="37" t="str">
        <x:f>IF(B348="","",C348-D348)</x:f>
      </x:c>
      <x:c r="F348" s="37" t="str">
        <x:f>IF(B348="","",F347+E348)</x:f>
      </x:c>
      <x:c r="G348" s="37" t="str">
        <x:f>IF(OR(B348="",$I$6&lt;&gt;"Complete"),"",SUMIFS($D$32:$D$51,$C$32:$C$51,B348,$I$32:$I$51,"Ready"))</x:f>
      </x:c>
      <x:c r="H348" s="37" t="str">
        <x:f>IF(OR(B348="",$I$6&lt;&gt;"Complete"),"",SUMIFS($E$32:$E$51,$C$32:$C$51,B348,$I$32:$I$51,"Ready"))</x:f>
      </x:c>
      <x:c r="I348" s="37" t="str">
        <x:f>IF(OR(B348="",$I$6&lt;&gt;"Complete"),"",I347+E348+G348-H348)</x:f>
      </x:c>
      <x:c r="J348" s="37" t="str">
        <x:f>IF(OR(B348="",$I$6&lt;&gt;"Complete"),"",'Inputs'!$C$49)</x:f>
      </x:c>
      <x:c r="K348" s="37" t="str">
        <x:f>IF(OR(B348="",$I$6&lt;&gt;"Complete"),"",I348-J348)</x:f>
      </x:c>
      <x:c r="L348" s="61" t="str">
        <x:f>IF(OR(B348="",$I$6&lt;&gt;"Complete"),"",IF(K348&lt;0,1,0))</x:f>
      </x:c>
    </x:row>
    <x:row r="349" ht="23" customHeight="1">
      <x:c r="A349" s="2"/>
      <x:c r="B349" s="60" t="str">
        <x:f>IF($D$6&lt;&gt;"Complete","",IF('Inputs'!$C$47+279&lt;=$D$9,'Inputs'!$C$47+279,""))</x:f>
      </x:c>
      <x:c r="C349" s="37" t="str">
        <x:f>IF(B349="","",SUMIFS($D$14:$D$23,$C$14:$C$23,B349))</x:f>
      </x:c>
      <x:c r="D349" s="37" t="str">
        <x:f>IF(B349="","",SUMIFS($E$14:$E$23,$C$14:$C$23,B349))</x:f>
      </x:c>
      <x:c r="E349" s="37" t="str">
        <x:f>IF(B349="","",C349-D349)</x:f>
      </x:c>
      <x:c r="F349" s="37" t="str">
        <x:f>IF(B349="","",F348+E349)</x:f>
      </x:c>
      <x:c r="G349" s="37" t="str">
        <x:f>IF(OR(B349="",$I$6&lt;&gt;"Complete"),"",SUMIFS($D$32:$D$51,$C$32:$C$51,B349,$I$32:$I$51,"Ready"))</x:f>
      </x:c>
      <x:c r="H349" s="37" t="str">
        <x:f>IF(OR(B349="",$I$6&lt;&gt;"Complete"),"",SUMIFS($E$32:$E$51,$C$32:$C$51,B349,$I$32:$I$51,"Ready"))</x:f>
      </x:c>
      <x:c r="I349" s="37" t="str">
        <x:f>IF(OR(B349="",$I$6&lt;&gt;"Complete"),"",I348+E349+G349-H349)</x:f>
      </x:c>
      <x:c r="J349" s="37" t="str">
        <x:f>IF(OR(B349="",$I$6&lt;&gt;"Complete"),"",'Inputs'!$C$49)</x:f>
      </x:c>
      <x:c r="K349" s="37" t="str">
        <x:f>IF(OR(B349="",$I$6&lt;&gt;"Complete"),"",I349-J349)</x:f>
      </x:c>
      <x:c r="L349" s="61" t="str">
        <x:f>IF(OR(B349="",$I$6&lt;&gt;"Complete"),"",IF(K349&lt;0,1,0))</x:f>
      </x:c>
    </x:row>
    <x:row r="350" ht="23" customHeight="1">
      <x:c r="A350" s="2"/>
      <x:c r="B350" s="60" t="str">
        <x:f>IF($D$6&lt;&gt;"Complete","",IF('Inputs'!$C$47+280&lt;=$D$9,'Inputs'!$C$47+280,""))</x:f>
      </x:c>
      <x:c r="C350" s="37" t="str">
        <x:f>IF(B350="","",SUMIFS($D$14:$D$23,$C$14:$C$23,B350))</x:f>
      </x:c>
      <x:c r="D350" s="37" t="str">
        <x:f>IF(B350="","",SUMIFS($E$14:$E$23,$C$14:$C$23,B350))</x:f>
      </x:c>
      <x:c r="E350" s="37" t="str">
        <x:f>IF(B350="","",C350-D350)</x:f>
      </x:c>
      <x:c r="F350" s="37" t="str">
        <x:f>IF(B350="","",F349+E350)</x:f>
      </x:c>
      <x:c r="G350" s="37" t="str">
        <x:f>IF(OR(B350="",$I$6&lt;&gt;"Complete"),"",SUMIFS($D$32:$D$51,$C$32:$C$51,B350,$I$32:$I$51,"Ready"))</x:f>
      </x:c>
      <x:c r="H350" s="37" t="str">
        <x:f>IF(OR(B350="",$I$6&lt;&gt;"Complete"),"",SUMIFS($E$32:$E$51,$C$32:$C$51,B350,$I$32:$I$51,"Ready"))</x:f>
      </x:c>
      <x:c r="I350" s="37" t="str">
        <x:f>IF(OR(B350="",$I$6&lt;&gt;"Complete"),"",I349+E350+G350-H350)</x:f>
      </x:c>
      <x:c r="J350" s="37" t="str">
        <x:f>IF(OR(B350="",$I$6&lt;&gt;"Complete"),"",'Inputs'!$C$49)</x:f>
      </x:c>
      <x:c r="K350" s="37" t="str">
        <x:f>IF(OR(B350="",$I$6&lt;&gt;"Complete"),"",I350-J350)</x:f>
      </x:c>
      <x:c r="L350" s="61" t="str">
        <x:f>IF(OR(B350="",$I$6&lt;&gt;"Complete"),"",IF(K350&lt;0,1,0))</x:f>
      </x:c>
    </x:row>
    <x:row r="351" ht="23" customHeight="1">
      <x:c r="A351" s="2"/>
      <x:c r="B351" s="60" t="str">
        <x:f>IF($D$6&lt;&gt;"Complete","",IF('Inputs'!$C$47+281&lt;=$D$9,'Inputs'!$C$47+281,""))</x:f>
      </x:c>
      <x:c r="C351" s="37" t="str">
        <x:f>IF(B351="","",SUMIFS($D$14:$D$23,$C$14:$C$23,B351))</x:f>
      </x:c>
      <x:c r="D351" s="37" t="str">
        <x:f>IF(B351="","",SUMIFS($E$14:$E$23,$C$14:$C$23,B351))</x:f>
      </x:c>
      <x:c r="E351" s="37" t="str">
        <x:f>IF(B351="","",C351-D351)</x:f>
      </x:c>
      <x:c r="F351" s="37" t="str">
        <x:f>IF(B351="","",F350+E351)</x:f>
      </x:c>
      <x:c r="G351" s="37" t="str">
        <x:f>IF(OR(B351="",$I$6&lt;&gt;"Complete"),"",SUMIFS($D$32:$D$51,$C$32:$C$51,B351,$I$32:$I$51,"Ready"))</x:f>
      </x:c>
      <x:c r="H351" s="37" t="str">
        <x:f>IF(OR(B351="",$I$6&lt;&gt;"Complete"),"",SUMIFS($E$32:$E$51,$C$32:$C$51,B351,$I$32:$I$51,"Ready"))</x:f>
      </x:c>
      <x:c r="I351" s="37" t="str">
        <x:f>IF(OR(B351="",$I$6&lt;&gt;"Complete"),"",I350+E351+G351-H351)</x:f>
      </x:c>
      <x:c r="J351" s="37" t="str">
        <x:f>IF(OR(B351="",$I$6&lt;&gt;"Complete"),"",'Inputs'!$C$49)</x:f>
      </x:c>
      <x:c r="K351" s="37" t="str">
        <x:f>IF(OR(B351="",$I$6&lt;&gt;"Complete"),"",I351-J351)</x:f>
      </x:c>
      <x:c r="L351" s="61" t="str">
        <x:f>IF(OR(B351="",$I$6&lt;&gt;"Complete"),"",IF(K351&lt;0,1,0))</x:f>
      </x:c>
    </x:row>
    <x:row r="352" ht="23" customHeight="1">
      <x:c r="A352" s="2"/>
      <x:c r="B352" s="60" t="str">
        <x:f>IF($D$6&lt;&gt;"Complete","",IF('Inputs'!$C$47+282&lt;=$D$9,'Inputs'!$C$47+282,""))</x:f>
      </x:c>
      <x:c r="C352" s="37" t="str">
        <x:f>IF(B352="","",SUMIFS($D$14:$D$23,$C$14:$C$23,B352))</x:f>
      </x:c>
      <x:c r="D352" s="37" t="str">
        <x:f>IF(B352="","",SUMIFS($E$14:$E$23,$C$14:$C$23,B352))</x:f>
      </x:c>
      <x:c r="E352" s="37" t="str">
        <x:f>IF(B352="","",C352-D352)</x:f>
      </x:c>
      <x:c r="F352" s="37" t="str">
        <x:f>IF(B352="","",F351+E352)</x:f>
      </x:c>
      <x:c r="G352" s="37" t="str">
        <x:f>IF(OR(B352="",$I$6&lt;&gt;"Complete"),"",SUMIFS($D$32:$D$51,$C$32:$C$51,B352,$I$32:$I$51,"Ready"))</x:f>
      </x:c>
      <x:c r="H352" s="37" t="str">
        <x:f>IF(OR(B352="",$I$6&lt;&gt;"Complete"),"",SUMIFS($E$32:$E$51,$C$32:$C$51,B352,$I$32:$I$51,"Ready"))</x:f>
      </x:c>
      <x:c r="I352" s="37" t="str">
        <x:f>IF(OR(B352="",$I$6&lt;&gt;"Complete"),"",I351+E352+G352-H352)</x:f>
      </x:c>
      <x:c r="J352" s="37" t="str">
        <x:f>IF(OR(B352="",$I$6&lt;&gt;"Complete"),"",'Inputs'!$C$49)</x:f>
      </x:c>
      <x:c r="K352" s="37" t="str">
        <x:f>IF(OR(B352="",$I$6&lt;&gt;"Complete"),"",I352-J352)</x:f>
      </x:c>
      <x:c r="L352" s="61" t="str">
        <x:f>IF(OR(B352="",$I$6&lt;&gt;"Complete"),"",IF(K352&lt;0,1,0))</x:f>
      </x:c>
    </x:row>
    <x:row r="353" ht="23" customHeight="1">
      <x:c r="A353" s="2"/>
      <x:c r="B353" s="60" t="str">
        <x:f>IF($D$6&lt;&gt;"Complete","",IF('Inputs'!$C$47+283&lt;=$D$9,'Inputs'!$C$47+283,""))</x:f>
      </x:c>
      <x:c r="C353" s="37" t="str">
        <x:f>IF(B353="","",SUMIFS($D$14:$D$23,$C$14:$C$23,B353))</x:f>
      </x:c>
      <x:c r="D353" s="37" t="str">
        <x:f>IF(B353="","",SUMIFS($E$14:$E$23,$C$14:$C$23,B353))</x:f>
      </x:c>
      <x:c r="E353" s="37" t="str">
        <x:f>IF(B353="","",C353-D353)</x:f>
      </x:c>
      <x:c r="F353" s="37" t="str">
        <x:f>IF(B353="","",F352+E353)</x:f>
      </x:c>
      <x:c r="G353" s="37" t="str">
        <x:f>IF(OR(B353="",$I$6&lt;&gt;"Complete"),"",SUMIFS($D$32:$D$51,$C$32:$C$51,B353,$I$32:$I$51,"Ready"))</x:f>
      </x:c>
      <x:c r="H353" s="37" t="str">
        <x:f>IF(OR(B353="",$I$6&lt;&gt;"Complete"),"",SUMIFS($E$32:$E$51,$C$32:$C$51,B353,$I$32:$I$51,"Ready"))</x:f>
      </x:c>
      <x:c r="I353" s="37" t="str">
        <x:f>IF(OR(B353="",$I$6&lt;&gt;"Complete"),"",I352+E353+G353-H353)</x:f>
      </x:c>
      <x:c r="J353" s="37" t="str">
        <x:f>IF(OR(B353="",$I$6&lt;&gt;"Complete"),"",'Inputs'!$C$49)</x:f>
      </x:c>
      <x:c r="K353" s="37" t="str">
        <x:f>IF(OR(B353="",$I$6&lt;&gt;"Complete"),"",I353-J353)</x:f>
      </x:c>
      <x:c r="L353" s="61" t="str">
        <x:f>IF(OR(B353="",$I$6&lt;&gt;"Complete"),"",IF(K353&lt;0,1,0))</x:f>
      </x:c>
    </x:row>
    <x:row r="354" ht="23" customHeight="1">
      <x:c r="A354" s="2"/>
      <x:c r="B354" s="60" t="str">
        <x:f>IF($D$6&lt;&gt;"Complete","",IF('Inputs'!$C$47+284&lt;=$D$9,'Inputs'!$C$47+284,""))</x:f>
      </x:c>
      <x:c r="C354" s="37" t="str">
        <x:f>IF(B354="","",SUMIFS($D$14:$D$23,$C$14:$C$23,B354))</x:f>
      </x:c>
      <x:c r="D354" s="37" t="str">
        <x:f>IF(B354="","",SUMIFS($E$14:$E$23,$C$14:$C$23,B354))</x:f>
      </x:c>
      <x:c r="E354" s="37" t="str">
        <x:f>IF(B354="","",C354-D354)</x:f>
      </x:c>
      <x:c r="F354" s="37" t="str">
        <x:f>IF(B354="","",F353+E354)</x:f>
      </x:c>
      <x:c r="G354" s="37" t="str">
        <x:f>IF(OR(B354="",$I$6&lt;&gt;"Complete"),"",SUMIFS($D$32:$D$51,$C$32:$C$51,B354,$I$32:$I$51,"Ready"))</x:f>
      </x:c>
      <x:c r="H354" s="37" t="str">
        <x:f>IF(OR(B354="",$I$6&lt;&gt;"Complete"),"",SUMIFS($E$32:$E$51,$C$32:$C$51,B354,$I$32:$I$51,"Ready"))</x:f>
      </x:c>
      <x:c r="I354" s="37" t="str">
        <x:f>IF(OR(B354="",$I$6&lt;&gt;"Complete"),"",I353+E354+G354-H354)</x:f>
      </x:c>
      <x:c r="J354" s="37" t="str">
        <x:f>IF(OR(B354="",$I$6&lt;&gt;"Complete"),"",'Inputs'!$C$49)</x:f>
      </x:c>
      <x:c r="K354" s="37" t="str">
        <x:f>IF(OR(B354="",$I$6&lt;&gt;"Complete"),"",I354-J354)</x:f>
      </x:c>
      <x:c r="L354" s="61" t="str">
        <x:f>IF(OR(B354="",$I$6&lt;&gt;"Complete"),"",IF(K354&lt;0,1,0))</x:f>
      </x:c>
    </x:row>
    <x:row r="355" ht="23" customHeight="1">
      <x:c r="A355" s="2"/>
      <x:c r="B355" s="60" t="str">
        <x:f>IF($D$6&lt;&gt;"Complete","",IF('Inputs'!$C$47+285&lt;=$D$9,'Inputs'!$C$47+285,""))</x:f>
      </x:c>
      <x:c r="C355" s="37" t="str">
        <x:f>IF(B355="","",SUMIFS($D$14:$D$23,$C$14:$C$23,B355))</x:f>
      </x:c>
      <x:c r="D355" s="37" t="str">
        <x:f>IF(B355="","",SUMIFS($E$14:$E$23,$C$14:$C$23,B355))</x:f>
      </x:c>
      <x:c r="E355" s="37" t="str">
        <x:f>IF(B355="","",C355-D355)</x:f>
      </x:c>
      <x:c r="F355" s="37" t="str">
        <x:f>IF(B355="","",F354+E355)</x:f>
      </x:c>
      <x:c r="G355" s="37" t="str">
        <x:f>IF(OR(B355="",$I$6&lt;&gt;"Complete"),"",SUMIFS($D$32:$D$51,$C$32:$C$51,B355,$I$32:$I$51,"Ready"))</x:f>
      </x:c>
      <x:c r="H355" s="37" t="str">
        <x:f>IF(OR(B355="",$I$6&lt;&gt;"Complete"),"",SUMIFS($E$32:$E$51,$C$32:$C$51,B355,$I$32:$I$51,"Ready"))</x:f>
      </x:c>
      <x:c r="I355" s="37" t="str">
        <x:f>IF(OR(B355="",$I$6&lt;&gt;"Complete"),"",I354+E355+G355-H355)</x:f>
      </x:c>
      <x:c r="J355" s="37" t="str">
        <x:f>IF(OR(B355="",$I$6&lt;&gt;"Complete"),"",'Inputs'!$C$49)</x:f>
      </x:c>
      <x:c r="K355" s="37" t="str">
        <x:f>IF(OR(B355="",$I$6&lt;&gt;"Complete"),"",I355-J355)</x:f>
      </x:c>
      <x:c r="L355" s="61" t="str">
        <x:f>IF(OR(B355="",$I$6&lt;&gt;"Complete"),"",IF(K355&lt;0,1,0))</x:f>
      </x:c>
    </x:row>
    <x:row r="356" ht="23" customHeight="1">
      <x:c r="A356" s="2"/>
      <x:c r="B356" s="60" t="str">
        <x:f>IF($D$6&lt;&gt;"Complete","",IF('Inputs'!$C$47+286&lt;=$D$9,'Inputs'!$C$47+286,""))</x:f>
      </x:c>
      <x:c r="C356" s="37" t="str">
        <x:f>IF(B356="","",SUMIFS($D$14:$D$23,$C$14:$C$23,B356))</x:f>
      </x:c>
      <x:c r="D356" s="37" t="str">
        <x:f>IF(B356="","",SUMIFS($E$14:$E$23,$C$14:$C$23,B356))</x:f>
      </x:c>
      <x:c r="E356" s="37" t="str">
        <x:f>IF(B356="","",C356-D356)</x:f>
      </x:c>
      <x:c r="F356" s="37" t="str">
        <x:f>IF(B356="","",F355+E356)</x:f>
      </x:c>
      <x:c r="G356" s="37" t="str">
        <x:f>IF(OR(B356="",$I$6&lt;&gt;"Complete"),"",SUMIFS($D$32:$D$51,$C$32:$C$51,B356,$I$32:$I$51,"Ready"))</x:f>
      </x:c>
      <x:c r="H356" s="37" t="str">
        <x:f>IF(OR(B356="",$I$6&lt;&gt;"Complete"),"",SUMIFS($E$32:$E$51,$C$32:$C$51,B356,$I$32:$I$51,"Ready"))</x:f>
      </x:c>
      <x:c r="I356" s="37" t="str">
        <x:f>IF(OR(B356="",$I$6&lt;&gt;"Complete"),"",I355+E356+G356-H356)</x:f>
      </x:c>
      <x:c r="J356" s="37" t="str">
        <x:f>IF(OR(B356="",$I$6&lt;&gt;"Complete"),"",'Inputs'!$C$49)</x:f>
      </x:c>
      <x:c r="K356" s="37" t="str">
        <x:f>IF(OR(B356="",$I$6&lt;&gt;"Complete"),"",I356-J356)</x:f>
      </x:c>
      <x:c r="L356" s="61" t="str">
        <x:f>IF(OR(B356="",$I$6&lt;&gt;"Complete"),"",IF(K356&lt;0,1,0))</x:f>
      </x:c>
    </x:row>
    <x:row r="357" ht="23" customHeight="1">
      <x:c r="A357" s="2"/>
      <x:c r="B357" s="60" t="str">
        <x:f>IF($D$6&lt;&gt;"Complete","",IF('Inputs'!$C$47+287&lt;=$D$9,'Inputs'!$C$47+287,""))</x:f>
      </x:c>
      <x:c r="C357" s="37" t="str">
        <x:f>IF(B357="","",SUMIFS($D$14:$D$23,$C$14:$C$23,B357))</x:f>
      </x:c>
      <x:c r="D357" s="37" t="str">
        <x:f>IF(B357="","",SUMIFS($E$14:$E$23,$C$14:$C$23,B357))</x:f>
      </x:c>
      <x:c r="E357" s="37" t="str">
        <x:f>IF(B357="","",C357-D357)</x:f>
      </x:c>
      <x:c r="F357" s="37" t="str">
        <x:f>IF(B357="","",F356+E357)</x:f>
      </x:c>
      <x:c r="G357" s="37" t="str">
        <x:f>IF(OR(B357="",$I$6&lt;&gt;"Complete"),"",SUMIFS($D$32:$D$51,$C$32:$C$51,B357,$I$32:$I$51,"Ready"))</x:f>
      </x:c>
      <x:c r="H357" s="37" t="str">
        <x:f>IF(OR(B357="",$I$6&lt;&gt;"Complete"),"",SUMIFS($E$32:$E$51,$C$32:$C$51,B357,$I$32:$I$51,"Ready"))</x:f>
      </x:c>
      <x:c r="I357" s="37" t="str">
        <x:f>IF(OR(B357="",$I$6&lt;&gt;"Complete"),"",I356+E357+G357-H357)</x:f>
      </x:c>
      <x:c r="J357" s="37" t="str">
        <x:f>IF(OR(B357="",$I$6&lt;&gt;"Complete"),"",'Inputs'!$C$49)</x:f>
      </x:c>
      <x:c r="K357" s="37" t="str">
        <x:f>IF(OR(B357="",$I$6&lt;&gt;"Complete"),"",I357-J357)</x:f>
      </x:c>
      <x:c r="L357" s="61" t="str">
        <x:f>IF(OR(B357="",$I$6&lt;&gt;"Complete"),"",IF(K357&lt;0,1,0))</x:f>
      </x:c>
    </x:row>
    <x:row r="358" ht="23" customHeight="1">
      <x:c r="A358" s="2"/>
      <x:c r="B358" s="60" t="str">
        <x:f>IF($D$6&lt;&gt;"Complete","",IF('Inputs'!$C$47+288&lt;=$D$9,'Inputs'!$C$47+288,""))</x:f>
      </x:c>
      <x:c r="C358" s="37" t="str">
        <x:f>IF(B358="","",SUMIFS($D$14:$D$23,$C$14:$C$23,B358))</x:f>
      </x:c>
      <x:c r="D358" s="37" t="str">
        <x:f>IF(B358="","",SUMIFS($E$14:$E$23,$C$14:$C$23,B358))</x:f>
      </x:c>
      <x:c r="E358" s="37" t="str">
        <x:f>IF(B358="","",C358-D358)</x:f>
      </x:c>
      <x:c r="F358" s="37" t="str">
        <x:f>IF(B358="","",F357+E358)</x:f>
      </x:c>
      <x:c r="G358" s="37" t="str">
        <x:f>IF(OR(B358="",$I$6&lt;&gt;"Complete"),"",SUMIFS($D$32:$D$51,$C$32:$C$51,B358,$I$32:$I$51,"Ready"))</x:f>
      </x:c>
      <x:c r="H358" s="37" t="str">
        <x:f>IF(OR(B358="",$I$6&lt;&gt;"Complete"),"",SUMIFS($E$32:$E$51,$C$32:$C$51,B358,$I$32:$I$51,"Ready"))</x:f>
      </x:c>
      <x:c r="I358" s="37" t="str">
        <x:f>IF(OR(B358="",$I$6&lt;&gt;"Complete"),"",I357+E358+G358-H358)</x:f>
      </x:c>
      <x:c r="J358" s="37" t="str">
        <x:f>IF(OR(B358="",$I$6&lt;&gt;"Complete"),"",'Inputs'!$C$49)</x:f>
      </x:c>
      <x:c r="K358" s="37" t="str">
        <x:f>IF(OR(B358="",$I$6&lt;&gt;"Complete"),"",I358-J358)</x:f>
      </x:c>
      <x:c r="L358" s="61" t="str">
        <x:f>IF(OR(B358="",$I$6&lt;&gt;"Complete"),"",IF(K358&lt;0,1,0))</x:f>
      </x:c>
    </x:row>
    <x:row r="359" ht="23" customHeight="1">
      <x:c r="A359" s="2"/>
      <x:c r="B359" s="60" t="str">
        <x:f>IF($D$6&lt;&gt;"Complete","",IF('Inputs'!$C$47+289&lt;=$D$9,'Inputs'!$C$47+289,""))</x:f>
      </x:c>
      <x:c r="C359" s="37" t="str">
        <x:f>IF(B359="","",SUMIFS($D$14:$D$23,$C$14:$C$23,B359))</x:f>
      </x:c>
      <x:c r="D359" s="37" t="str">
        <x:f>IF(B359="","",SUMIFS($E$14:$E$23,$C$14:$C$23,B359))</x:f>
      </x:c>
      <x:c r="E359" s="37" t="str">
        <x:f>IF(B359="","",C359-D359)</x:f>
      </x:c>
      <x:c r="F359" s="37" t="str">
        <x:f>IF(B359="","",F358+E359)</x:f>
      </x:c>
      <x:c r="G359" s="37" t="str">
        <x:f>IF(OR(B359="",$I$6&lt;&gt;"Complete"),"",SUMIFS($D$32:$D$51,$C$32:$C$51,B359,$I$32:$I$51,"Ready"))</x:f>
      </x:c>
      <x:c r="H359" s="37" t="str">
        <x:f>IF(OR(B359="",$I$6&lt;&gt;"Complete"),"",SUMIFS($E$32:$E$51,$C$32:$C$51,B359,$I$32:$I$51,"Ready"))</x:f>
      </x:c>
      <x:c r="I359" s="37" t="str">
        <x:f>IF(OR(B359="",$I$6&lt;&gt;"Complete"),"",I358+E359+G359-H359)</x:f>
      </x:c>
      <x:c r="J359" s="37" t="str">
        <x:f>IF(OR(B359="",$I$6&lt;&gt;"Complete"),"",'Inputs'!$C$49)</x:f>
      </x:c>
      <x:c r="K359" s="37" t="str">
        <x:f>IF(OR(B359="",$I$6&lt;&gt;"Complete"),"",I359-J359)</x:f>
      </x:c>
      <x:c r="L359" s="61" t="str">
        <x:f>IF(OR(B359="",$I$6&lt;&gt;"Complete"),"",IF(K359&lt;0,1,0))</x:f>
      </x:c>
    </x:row>
    <x:row r="360" ht="23" customHeight="1">
      <x:c r="A360" s="2"/>
      <x:c r="B360" s="60" t="str">
        <x:f>IF($D$6&lt;&gt;"Complete","",IF('Inputs'!$C$47+290&lt;=$D$9,'Inputs'!$C$47+290,""))</x:f>
      </x:c>
      <x:c r="C360" s="37" t="str">
        <x:f>IF(B360="","",SUMIFS($D$14:$D$23,$C$14:$C$23,B360))</x:f>
      </x:c>
      <x:c r="D360" s="37" t="str">
        <x:f>IF(B360="","",SUMIFS($E$14:$E$23,$C$14:$C$23,B360))</x:f>
      </x:c>
      <x:c r="E360" s="37" t="str">
        <x:f>IF(B360="","",C360-D360)</x:f>
      </x:c>
      <x:c r="F360" s="37" t="str">
        <x:f>IF(B360="","",F359+E360)</x:f>
      </x:c>
      <x:c r="G360" s="37" t="str">
        <x:f>IF(OR(B360="",$I$6&lt;&gt;"Complete"),"",SUMIFS($D$32:$D$51,$C$32:$C$51,B360,$I$32:$I$51,"Ready"))</x:f>
      </x:c>
      <x:c r="H360" s="37" t="str">
        <x:f>IF(OR(B360="",$I$6&lt;&gt;"Complete"),"",SUMIFS($E$32:$E$51,$C$32:$C$51,B360,$I$32:$I$51,"Ready"))</x:f>
      </x:c>
      <x:c r="I360" s="37" t="str">
        <x:f>IF(OR(B360="",$I$6&lt;&gt;"Complete"),"",I359+E360+G360-H360)</x:f>
      </x:c>
      <x:c r="J360" s="37" t="str">
        <x:f>IF(OR(B360="",$I$6&lt;&gt;"Complete"),"",'Inputs'!$C$49)</x:f>
      </x:c>
      <x:c r="K360" s="37" t="str">
        <x:f>IF(OR(B360="",$I$6&lt;&gt;"Complete"),"",I360-J360)</x:f>
      </x:c>
      <x:c r="L360" s="61" t="str">
        <x:f>IF(OR(B360="",$I$6&lt;&gt;"Complete"),"",IF(K360&lt;0,1,0))</x:f>
      </x:c>
    </x:row>
    <x:row r="361" ht="23" customHeight="1">
      <x:c r="A361" s="2"/>
      <x:c r="B361" s="60" t="str">
        <x:f>IF($D$6&lt;&gt;"Complete","",IF('Inputs'!$C$47+291&lt;=$D$9,'Inputs'!$C$47+291,""))</x:f>
      </x:c>
      <x:c r="C361" s="37" t="str">
        <x:f>IF(B361="","",SUMIFS($D$14:$D$23,$C$14:$C$23,B361))</x:f>
      </x:c>
      <x:c r="D361" s="37" t="str">
        <x:f>IF(B361="","",SUMIFS($E$14:$E$23,$C$14:$C$23,B361))</x:f>
      </x:c>
      <x:c r="E361" s="37" t="str">
        <x:f>IF(B361="","",C361-D361)</x:f>
      </x:c>
      <x:c r="F361" s="37" t="str">
        <x:f>IF(B361="","",F360+E361)</x:f>
      </x:c>
      <x:c r="G361" s="37" t="str">
        <x:f>IF(OR(B361="",$I$6&lt;&gt;"Complete"),"",SUMIFS($D$32:$D$51,$C$32:$C$51,B361,$I$32:$I$51,"Ready"))</x:f>
      </x:c>
      <x:c r="H361" s="37" t="str">
        <x:f>IF(OR(B361="",$I$6&lt;&gt;"Complete"),"",SUMIFS($E$32:$E$51,$C$32:$C$51,B361,$I$32:$I$51,"Ready"))</x:f>
      </x:c>
      <x:c r="I361" s="37" t="str">
        <x:f>IF(OR(B361="",$I$6&lt;&gt;"Complete"),"",I360+E361+G361-H361)</x:f>
      </x:c>
      <x:c r="J361" s="37" t="str">
        <x:f>IF(OR(B361="",$I$6&lt;&gt;"Complete"),"",'Inputs'!$C$49)</x:f>
      </x:c>
      <x:c r="K361" s="37" t="str">
        <x:f>IF(OR(B361="",$I$6&lt;&gt;"Complete"),"",I361-J361)</x:f>
      </x:c>
      <x:c r="L361" s="61" t="str">
        <x:f>IF(OR(B361="",$I$6&lt;&gt;"Complete"),"",IF(K361&lt;0,1,0))</x:f>
      </x:c>
    </x:row>
    <x:row r="362" ht="23" customHeight="1">
      <x:c r="A362" s="2"/>
      <x:c r="B362" s="60" t="str">
        <x:f>IF($D$6&lt;&gt;"Complete","",IF('Inputs'!$C$47+292&lt;=$D$9,'Inputs'!$C$47+292,""))</x:f>
      </x:c>
      <x:c r="C362" s="37" t="str">
        <x:f>IF(B362="","",SUMIFS($D$14:$D$23,$C$14:$C$23,B362))</x:f>
      </x:c>
      <x:c r="D362" s="37" t="str">
        <x:f>IF(B362="","",SUMIFS($E$14:$E$23,$C$14:$C$23,B362))</x:f>
      </x:c>
      <x:c r="E362" s="37" t="str">
        <x:f>IF(B362="","",C362-D362)</x:f>
      </x:c>
      <x:c r="F362" s="37" t="str">
        <x:f>IF(B362="","",F361+E362)</x:f>
      </x:c>
      <x:c r="G362" s="37" t="str">
        <x:f>IF(OR(B362="",$I$6&lt;&gt;"Complete"),"",SUMIFS($D$32:$D$51,$C$32:$C$51,B362,$I$32:$I$51,"Ready"))</x:f>
      </x:c>
      <x:c r="H362" s="37" t="str">
        <x:f>IF(OR(B362="",$I$6&lt;&gt;"Complete"),"",SUMIFS($E$32:$E$51,$C$32:$C$51,B362,$I$32:$I$51,"Ready"))</x:f>
      </x:c>
      <x:c r="I362" s="37" t="str">
        <x:f>IF(OR(B362="",$I$6&lt;&gt;"Complete"),"",I361+E362+G362-H362)</x:f>
      </x:c>
      <x:c r="J362" s="37" t="str">
        <x:f>IF(OR(B362="",$I$6&lt;&gt;"Complete"),"",'Inputs'!$C$49)</x:f>
      </x:c>
      <x:c r="K362" s="37" t="str">
        <x:f>IF(OR(B362="",$I$6&lt;&gt;"Complete"),"",I362-J362)</x:f>
      </x:c>
      <x:c r="L362" s="61" t="str">
        <x:f>IF(OR(B362="",$I$6&lt;&gt;"Complete"),"",IF(K362&lt;0,1,0))</x:f>
      </x:c>
    </x:row>
    <x:row r="363" ht="23" customHeight="1">
      <x:c r="A363" s="2"/>
      <x:c r="B363" s="60" t="str">
        <x:f>IF($D$6&lt;&gt;"Complete","",IF('Inputs'!$C$47+293&lt;=$D$9,'Inputs'!$C$47+293,""))</x:f>
      </x:c>
      <x:c r="C363" s="37" t="str">
        <x:f>IF(B363="","",SUMIFS($D$14:$D$23,$C$14:$C$23,B363))</x:f>
      </x:c>
      <x:c r="D363" s="37" t="str">
        <x:f>IF(B363="","",SUMIFS($E$14:$E$23,$C$14:$C$23,B363))</x:f>
      </x:c>
      <x:c r="E363" s="37" t="str">
        <x:f>IF(B363="","",C363-D363)</x:f>
      </x:c>
      <x:c r="F363" s="37" t="str">
        <x:f>IF(B363="","",F362+E363)</x:f>
      </x:c>
      <x:c r="G363" s="37" t="str">
        <x:f>IF(OR(B363="",$I$6&lt;&gt;"Complete"),"",SUMIFS($D$32:$D$51,$C$32:$C$51,B363,$I$32:$I$51,"Ready"))</x:f>
      </x:c>
      <x:c r="H363" s="37" t="str">
        <x:f>IF(OR(B363="",$I$6&lt;&gt;"Complete"),"",SUMIFS($E$32:$E$51,$C$32:$C$51,B363,$I$32:$I$51,"Ready"))</x:f>
      </x:c>
      <x:c r="I363" s="37" t="str">
        <x:f>IF(OR(B363="",$I$6&lt;&gt;"Complete"),"",I362+E363+G363-H363)</x:f>
      </x:c>
      <x:c r="J363" s="37" t="str">
        <x:f>IF(OR(B363="",$I$6&lt;&gt;"Complete"),"",'Inputs'!$C$49)</x:f>
      </x:c>
      <x:c r="K363" s="37" t="str">
        <x:f>IF(OR(B363="",$I$6&lt;&gt;"Complete"),"",I363-J363)</x:f>
      </x:c>
      <x:c r="L363" s="61" t="str">
        <x:f>IF(OR(B363="",$I$6&lt;&gt;"Complete"),"",IF(K363&lt;0,1,0))</x:f>
      </x:c>
    </x:row>
    <x:row r="364" ht="23" customHeight="1">
      <x:c r="A364" s="2"/>
      <x:c r="B364" s="60" t="str">
        <x:f>IF($D$6&lt;&gt;"Complete","",IF('Inputs'!$C$47+294&lt;=$D$9,'Inputs'!$C$47+294,""))</x:f>
      </x:c>
      <x:c r="C364" s="37" t="str">
        <x:f>IF(B364="","",SUMIFS($D$14:$D$23,$C$14:$C$23,B364))</x:f>
      </x:c>
      <x:c r="D364" s="37" t="str">
        <x:f>IF(B364="","",SUMIFS($E$14:$E$23,$C$14:$C$23,B364))</x:f>
      </x:c>
      <x:c r="E364" s="37" t="str">
        <x:f>IF(B364="","",C364-D364)</x:f>
      </x:c>
      <x:c r="F364" s="37" t="str">
        <x:f>IF(B364="","",F363+E364)</x:f>
      </x:c>
      <x:c r="G364" s="37" t="str">
        <x:f>IF(OR(B364="",$I$6&lt;&gt;"Complete"),"",SUMIFS($D$32:$D$51,$C$32:$C$51,B364,$I$32:$I$51,"Ready"))</x:f>
      </x:c>
      <x:c r="H364" s="37" t="str">
        <x:f>IF(OR(B364="",$I$6&lt;&gt;"Complete"),"",SUMIFS($E$32:$E$51,$C$32:$C$51,B364,$I$32:$I$51,"Ready"))</x:f>
      </x:c>
      <x:c r="I364" s="37" t="str">
        <x:f>IF(OR(B364="",$I$6&lt;&gt;"Complete"),"",I363+E364+G364-H364)</x:f>
      </x:c>
      <x:c r="J364" s="37" t="str">
        <x:f>IF(OR(B364="",$I$6&lt;&gt;"Complete"),"",'Inputs'!$C$49)</x:f>
      </x:c>
      <x:c r="K364" s="37" t="str">
        <x:f>IF(OR(B364="",$I$6&lt;&gt;"Complete"),"",I364-J364)</x:f>
      </x:c>
      <x:c r="L364" s="61" t="str">
        <x:f>IF(OR(B364="",$I$6&lt;&gt;"Complete"),"",IF(K364&lt;0,1,0))</x:f>
      </x:c>
    </x:row>
    <x:row r="365" ht="23" customHeight="1">
      <x:c r="A365" s="2"/>
      <x:c r="B365" s="60" t="str">
        <x:f>IF($D$6&lt;&gt;"Complete","",IF('Inputs'!$C$47+295&lt;=$D$9,'Inputs'!$C$47+295,""))</x:f>
      </x:c>
      <x:c r="C365" s="37" t="str">
        <x:f>IF(B365="","",SUMIFS($D$14:$D$23,$C$14:$C$23,B365))</x:f>
      </x:c>
      <x:c r="D365" s="37" t="str">
        <x:f>IF(B365="","",SUMIFS($E$14:$E$23,$C$14:$C$23,B365))</x:f>
      </x:c>
      <x:c r="E365" s="37" t="str">
        <x:f>IF(B365="","",C365-D365)</x:f>
      </x:c>
      <x:c r="F365" s="37" t="str">
        <x:f>IF(B365="","",F364+E365)</x:f>
      </x:c>
      <x:c r="G365" s="37" t="str">
        <x:f>IF(OR(B365="",$I$6&lt;&gt;"Complete"),"",SUMIFS($D$32:$D$51,$C$32:$C$51,B365,$I$32:$I$51,"Ready"))</x:f>
      </x:c>
      <x:c r="H365" s="37" t="str">
        <x:f>IF(OR(B365="",$I$6&lt;&gt;"Complete"),"",SUMIFS($E$32:$E$51,$C$32:$C$51,B365,$I$32:$I$51,"Ready"))</x:f>
      </x:c>
      <x:c r="I365" s="37" t="str">
        <x:f>IF(OR(B365="",$I$6&lt;&gt;"Complete"),"",I364+E365+G365-H365)</x:f>
      </x:c>
      <x:c r="J365" s="37" t="str">
        <x:f>IF(OR(B365="",$I$6&lt;&gt;"Complete"),"",'Inputs'!$C$49)</x:f>
      </x:c>
      <x:c r="K365" s="37" t="str">
        <x:f>IF(OR(B365="",$I$6&lt;&gt;"Complete"),"",I365-J365)</x:f>
      </x:c>
      <x:c r="L365" s="61" t="str">
        <x:f>IF(OR(B365="",$I$6&lt;&gt;"Complete"),"",IF(K365&lt;0,1,0))</x:f>
      </x:c>
    </x:row>
    <x:row r="366" ht="23" customHeight="1">
      <x:c r="A366" s="2"/>
      <x:c r="B366" s="60" t="str">
        <x:f>IF($D$6&lt;&gt;"Complete","",IF('Inputs'!$C$47+296&lt;=$D$9,'Inputs'!$C$47+296,""))</x:f>
      </x:c>
      <x:c r="C366" s="37" t="str">
        <x:f>IF(B366="","",SUMIFS($D$14:$D$23,$C$14:$C$23,B366))</x:f>
      </x:c>
      <x:c r="D366" s="37" t="str">
        <x:f>IF(B366="","",SUMIFS($E$14:$E$23,$C$14:$C$23,B366))</x:f>
      </x:c>
      <x:c r="E366" s="37" t="str">
        <x:f>IF(B366="","",C366-D366)</x:f>
      </x:c>
      <x:c r="F366" s="37" t="str">
        <x:f>IF(B366="","",F365+E366)</x:f>
      </x:c>
      <x:c r="G366" s="37" t="str">
        <x:f>IF(OR(B366="",$I$6&lt;&gt;"Complete"),"",SUMIFS($D$32:$D$51,$C$32:$C$51,B366,$I$32:$I$51,"Ready"))</x:f>
      </x:c>
      <x:c r="H366" s="37" t="str">
        <x:f>IF(OR(B366="",$I$6&lt;&gt;"Complete"),"",SUMIFS($E$32:$E$51,$C$32:$C$51,B366,$I$32:$I$51,"Ready"))</x:f>
      </x:c>
      <x:c r="I366" s="37" t="str">
        <x:f>IF(OR(B366="",$I$6&lt;&gt;"Complete"),"",I365+E366+G366-H366)</x:f>
      </x:c>
      <x:c r="J366" s="37" t="str">
        <x:f>IF(OR(B366="",$I$6&lt;&gt;"Complete"),"",'Inputs'!$C$49)</x:f>
      </x:c>
      <x:c r="K366" s="37" t="str">
        <x:f>IF(OR(B366="",$I$6&lt;&gt;"Complete"),"",I366-J366)</x:f>
      </x:c>
      <x:c r="L366" s="61" t="str">
        <x:f>IF(OR(B366="",$I$6&lt;&gt;"Complete"),"",IF(K366&lt;0,1,0))</x:f>
      </x:c>
    </x:row>
    <x:row r="367" ht="23" customHeight="1">
      <x:c r="A367" s="2"/>
      <x:c r="B367" s="60" t="str">
        <x:f>IF($D$6&lt;&gt;"Complete","",IF('Inputs'!$C$47+297&lt;=$D$9,'Inputs'!$C$47+297,""))</x:f>
      </x:c>
      <x:c r="C367" s="37" t="str">
        <x:f>IF(B367="","",SUMIFS($D$14:$D$23,$C$14:$C$23,B367))</x:f>
      </x:c>
      <x:c r="D367" s="37" t="str">
        <x:f>IF(B367="","",SUMIFS($E$14:$E$23,$C$14:$C$23,B367))</x:f>
      </x:c>
      <x:c r="E367" s="37" t="str">
        <x:f>IF(B367="","",C367-D367)</x:f>
      </x:c>
      <x:c r="F367" s="37" t="str">
        <x:f>IF(B367="","",F366+E367)</x:f>
      </x:c>
      <x:c r="G367" s="37" t="str">
        <x:f>IF(OR(B367="",$I$6&lt;&gt;"Complete"),"",SUMIFS($D$32:$D$51,$C$32:$C$51,B367,$I$32:$I$51,"Ready"))</x:f>
      </x:c>
      <x:c r="H367" s="37" t="str">
        <x:f>IF(OR(B367="",$I$6&lt;&gt;"Complete"),"",SUMIFS($E$32:$E$51,$C$32:$C$51,B367,$I$32:$I$51,"Ready"))</x:f>
      </x:c>
      <x:c r="I367" s="37" t="str">
        <x:f>IF(OR(B367="",$I$6&lt;&gt;"Complete"),"",I366+E367+G367-H367)</x:f>
      </x:c>
      <x:c r="J367" s="37" t="str">
        <x:f>IF(OR(B367="",$I$6&lt;&gt;"Complete"),"",'Inputs'!$C$49)</x:f>
      </x:c>
      <x:c r="K367" s="37" t="str">
        <x:f>IF(OR(B367="",$I$6&lt;&gt;"Complete"),"",I367-J367)</x:f>
      </x:c>
      <x:c r="L367" s="61" t="str">
        <x:f>IF(OR(B367="",$I$6&lt;&gt;"Complete"),"",IF(K367&lt;0,1,0))</x:f>
      </x:c>
    </x:row>
    <x:row r="368" ht="23" customHeight="1">
      <x:c r="A368" s="2"/>
      <x:c r="B368" s="60" t="str">
        <x:f>IF($D$6&lt;&gt;"Complete","",IF('Inputs'!$C$47+298&lt;=$D$9,'Inputs'!$C$47+298,""))</x:f>
      </x:c>
      <x:c r="C368" s="37" t="str">
        <x:f>IF(B368="","",SUMIFS($D$14:$D$23,$C$14:$C$23,B368))</x:f>
      </x:c>
      <x:c r="D368" s="37" t="str">
        <x:f>IF(B368="","",SUMIFS($E$14:$E$23,$C$14:$C$23,B368))</x:f>
      </x:c>
      <x:c r="E368" s="37" t="str">
        <x:f>IF(B368="","",C368-D368)</x:f>
      </x:c>
      <x:c r="F368" s="37" t="str">
        <x:f>IF(B368="","",F367+E368)</x:f>
      </x:c>
      <x:c r="G368" s="37" t="str">
        <x:f>IF(OR(B368="",$I$6&lt;&gt;"Complete"),"",SUMIFS($D$32:$D$51,$C$32:$C$51,B368,$I$32:$I$51,"Ready"))</x:f>
      </x:c>
      <x:c r="H368" s="37" t="str">
        <x:f>IF(OR(B368="",$I$6&lt;&gt;"Complete"),"",SUMIFS($E$32:$E$51,$C$32:$C$51,B368,$I$32:$I$51,"Ready"))</x:f>
      </x:c>
      <x:c r="I368" s="37" t="str">
        <x:f>IF(OR(B368="",$I$6&lt;&gt;"Complete"),"",I367+E368+G368-H368)</x:f>
      </x:c>
      <x:c r="J368" s="37" t="str">
        <x:f>IF(OR(B368="",$I$6&lt;&gt;"Complete"),"",'Inputs'!$C$49)</x:f>
      </x:c>
      <x:c r="K368" s="37" t="str">
        <x:f>IF(OR(B368="",$I$6&lt;&gt;"Complete"),"",I368-J368)</x:f>
      </x:c>
      <x:c r="L368" s="61" t="str">
        <x:f>IF(OR(B368="",$I$6&lt;&gt;"Complete"),"",IF(K368&lt;0,1,0))</x:f>
      </x:c>
    </x:row>
    <x:row r="369" ht="23" customHeight="1">
      <x:c r="A369" s="2"/>
      <x:c r="B369" s="60" t="str">
        <x:f>IF($D$6&lt;&gt;"Complete","",IF('Inputs'!$C$47+299&lt;=$D$9,'Inputs'!$C$47+299,""))</x:f>
      </x:c>
      <x:c r="C369" s="37" t="str">
        <x:f>IF(B369="","",SUMIFS($D$14:$D$23,$C$14:$C$23,B369))</x:f>
      </x:c>
      <x:c r="D369" s="37" t="str">
        <x:f>IF(B369="","",SUMIFS($E$14:$E$23,$C$14:$C$23,B369))</x:f>
      </x:c>
      <x:c r="E369" s="37" t="str">
        <x:f>IF(B369="","",C369-D369)</x:f>
      </x:c>
      <x:c r="F369" s="37" t="str">
        <x:f>IF(B369="","",F368+E369)</x:f>
      </x:c>
      <x:c r="G369" s="37" t="str">
        <x:f>IF(OR(B369="",$I$6&lt;&gt;"Complete"),"",SUMIFS($D$32:$D$51,$C$32:$C$51,B369,$I$32:$I$51,"Ready"))</x:f>
      </x:c>
      <x:c r="H369" s="37" t="str">
        <x:f>IF(OR(B369="",$I$6&lt;&gt;"Complete"),"",SUMIFS($E$32:$E$51,$C$32:$C$51,B369,$I$32:$I$51,"Ready"))</x:f>
      </x:c>
      <x:c r="I369" s="37" t="str">
        <x:f>IF(OR(B369="",$I$6&lt;&gt;"Complete"),"",I368+E369+G369-H369)</x:f>
      </x:c>
      <x:c r="J369" s="37" t="str">
        <x:f>IF(OR(B369="",$I$6&lt;&gt;"Complete"),"",'Inputs'!$C$49)</x:f>
      </x:c>
      <x:c r="K369" s="37" t="str">
        <x:f>IF(OR(B369="",$I$6&lt;&gt;"Complete"),"",I369-J369)</x:f>
      </x:c>
      <x:c r="L369" s="61" t="str">
        <x:f>IF(OR(B369="",$I$6&lt;&gt;"Complete"),"",IF(K369&lt;0,1,0))</x:f>
      </x:c>
    </x:row>
    <x:row r="370" ht="23" customHeight="1">
      <x:c r="A370" s="2"/>
      <x:c r="B370" s="60" t="str">
        <x:f>IF($D$6&lt;&gt;"Complete","",IF('Inputs'!$C$47+300&lt;=$D$9,'Inputs'!$C$47+300,""))</x:f>
      </x:c>
      <x:c r="C370" s="37" t="str">
        <x:f>IF(B370="","",SUMIFS($D$14:$D$23,$C$14:$C$23,B370))</x:f>
      </x:c>
      <x:c r="D370" s="37" t="str">
        <x:f>IF(B370="","",SUMIFS($E$14:$E$23,$C$14:$C$23,B370))</x:f>
      </x:c>
      <x:c r="E370" s="37" t="str">
        <x:f>IF(B370="","",C370-D370)</x:f>
      </x:c>
      <x:c r="F370" s="37" t="str">
        <x:f>IF(B370="","",F369+E370)</x:f>
      </x:c>
      <x:c r="G370" s="37" t="str">
        <x:f>IF(OR(B370="",$I$6&lt;&gt;"Complete"),"",SUMIFS($D$32:$D$51,$C$32:$C$51,B370,$I$32:$I$51,"Ready"))</x:f>
      </x:c>
      <x:c r="H370" s="37" t="str">
        <x:f>IF(OR(B370="",$I$6&lt;&gt;"Complete"),"",SUMIFS($E$32:$E$51,$C$32:$C$51,B370,$I$32:$I$51,"Ready"))</x:f>
      </x:c>
      <x:c r="I370" s="37" t="str">
        <x:f>IF(OR(B370="",$I$6&lt;&gt;"Complete"),"",I369+E370+G370-H370)</x:f>
      </x:c>
      <x:c r="J370" s="37" t="str">
        <x:f>IF(OR(B370="",$I$6&lt;&gt;"Complete"),"",'Inputs'!$C$49)</x:f>
      </x:c>
      <x:c r="K370" s="37" t="str">
        <x:f>IF(OR(B370="",$I$6&lt;&gt;"Complete"),"",I370-J370)</x:f>
      </x:c>
      <x:c r="L370" s="61" t="str">
        <x:f>IF(OR(B370="",$I$6&lt;&gt;"Complete"),"",IF(K370&lt;0,1,0))</x:f>
      </x:c>
    </x:row>
    <x:row r="371" ht="23" customHeight="1">
      <x:c r="A371" s="2"/>
      <x:c r="B371" s="60" t="str">
        <x:f>IF($D$6&lt;&gt;"Complete","",IF('Inputs'!$C$47+301&lt;=$D$9,'Inputs'!$C$47+301,""))</x:f>
      </x:c>
      <x:c r="C371" s="37" t="str">
        <x:f>IF(B371="","",SUMIFS($D$14:$D$23,$C$14:$C$23,B371))</x:f>
      </x:c>
      <x:c r="D371" s="37" t="str">
        <x:f>IF(B371="","",SUMIFS($E$14:$E$23,$C$14:$C$23,B371))</x:f>
      </x:c>
      <x:c r="E371" s="37" t="str">
        <x:f>IF(B371="","",C371-D371)</x:f>
      </x:c>
      <x:c r="F371" s="37" t="str">
        <x:f>IF(B371="","",F370+E371)</x:f>
      </x:c>
      <x:c r="G371" s="37" t="str">
        <x:f>IF(OR(B371="",$I$6&lt;&gt;"Complete"),"",SUMIFS($D$32:$D$51,$C$32:$C$51,B371,$I$32:$I$51,"Ready"))</x:f>
      </x:c>
      <x:c r="H371" s="37" t="str">
        <x:f>IF(OR(B371="",$I$6&lt;&gt;"Complete"),"",SUMIFS($E$32:$E$51,$C$32:$C$51,B371,$I$32:$I$51,"Ready"))</x:f>
      </x:c>
      <x:c r="I371" s="37" t="str">
        <x:f>IF(OR(B371="",$I$6&lt;&gt;"Complete"),"",I370+E371+G371-H371)</x:f>
      </x:c>
      <x:c r="J371" s="37" t="str">
        <x:f>IF(OR(B371="",$I$6&lt;&gt;"Complete"),"",'Inputs'!$C$49)</x:f>
      </x:c>
      <x:c r="K371" s="37" t="str">
        <x:f>IF(OR(B371="",$I$6&lt;&gt;"Complete"),"",I371-J371)</x:f>
      </x:c>
      <x:c r="L371" s="61" t="str">
        <x:f>IF(OR(B371="",$I$6&lt;&gt;"Complete"),"",IF(K371&lt;0,1,0))</x:f>
      </x:c>
    </x:row>
    <x:row r="372" ht="23" customHeight="1">
      <x:c r="A372" s="2"/>
      <x:c r="B372" s="60" t="str">
        <x:f>IF($D$6&lt;&gt;"Complete","",IF('Inputs'!$C$47+302&lt;=$D$9,'Inputs'!$C$47+302,""))</x:f>
      </x:c>
      <x:c r="C372" s="37" t="str">
        <x:f>IF(B372="","",SUMIFS($D$14:$D$23,$C$14:$C$23,B372))</x:f>
      </x:c>
      <x:c r="D372" s="37" t="str">
        <x:f>IF(B372="","",SUMIFS($E$14:$E$23,$C$14:$C$23,B372))</x:f>
      </x:c>
      <x:c r="E372" s="37" t="str">
        <x:f>IF(B372="","",C372-D372)</x:f>
      </x:c>
      <x:c r="F372" s="37" t="str">
        <x:f>IF(B372="","",F371+E372)</x:f>
      </x:c>
      <x:c r="G372" s="37" t="str">
        <x:f>IF(OR(B372="",$I$6&lt;&gt;"Complete"),"",SUMIFS($D$32:$D$51,$C$32:$C$51,B372,$I$32:$I$51,"Ready"))</x:f>
      </x:c>
      <x:c r="H372" s="37" t="str">
        <x:f>IF(OR(B372="",$I$6&lt;&gt;"Complete"),"",SUMIFS($E$32:$E$51,$C$32:$C$51,B372,$I$32:$I$51,"Ready"))</x:f>
      </x:c>
      <x:c r="I372" s="37" t="str">
        <x:f>IF(OR(B372="",$I$6&lt;&gt;"Complete"),"",I371+E372+G372-H372)</x:f>
      </x:c>
      <x:c r="J372" s="37" t="str">
        <x:f>IF(OR(B372="",$I$6&lt;&gt;"Complete"),"",'Inputs'!$C$49)</x:f>
      </x:c>
      <x:c r="K372" s="37" t="str">
        <x:f>IF(OR(B372="",$I$6&lt;&gt;"Complete"),"",I372-J372)</x:f>
      </x:c>
      <x:c r="L372" s="61" t="str">
        <x:f>IF(OR(B372="",$I$6&lt;&gt;"Complete"),"",IF(K372&lt;0,1,0))</x:f>
      </x:c>
    </x:row>
    <x:row r="373" ht="23" customHeight="1">
      <x:c r="A373" s="2"/>
      <x:c r="B373" s="60" t="str">
        <x:f>IF($D$6&lt;&gt;"Complete","",IF('Inputs'!$C$47+303&lt;=$D$9,'Inputs'!$C$47+303,""))</x:f>
      </x:c>
      <x:c r="C373" s="37" t="str">
        <x:f>IF(B373="","",SUMIFS($D$14:$D$23,$C$14:$C$23,B373))</x:f>
      </x:c>
      <x:c r="D373" s="37" t="str">
        <x:f>IF(B373="","",SUMIFS($E$14:$E$23,$C$14:$C$23,B373))</x:f>
      </x:c>
      <x:c r="E373" s="37" t="str">
        <x:f>IF(B373="","",C373-D373)</x:f>
      </x:c>
      <x:c r="F373" s="37" t="str">
        <x:f>IF(B373="","",F372+E373)</x:f>
      </x:c>
      <x:c r="G373" s="37" t="str">
        <x:f>IF(OR(B373="",$I$6&lt;&gt;"Complete"),"",SUMIFS($D$32:$D$51,$C$32:$C$51,B373,$I$32:$I$51,"Ready"))</x:f>
      </x:c>
      <x:c r="H373" s="37" t="str">
        <x:f>IF(OR(B373="",$I$6&lt;&gt;"Complete"),"",SUMIFS($E$32:$E$51,$C$32:$C$51,B373,$I$32:$I$51,"Ready"))</x:f>
      </x:c>
      <x:c r="I373" s="37" t="str">
        <x:f>IF(OR(B373="",$I$6&lt;&gt;"Complete"),"",I372+E373+G373-H373)</x:f>
      </x:c>
      <x:c r="J373" s="37" t="str">
        <x:f>IF(OR(B373="",$I$6&lt;&gt;"Complete"),"",'Inputs'!$C$49)</x:f>
      </x:c>
      <x:c r="K373" s="37" t="str">
        <x:f>IF(OR(B373="",$I$6&lt;&gt;"Complete"),"",I373-J373)</x:f>
      </x:c>
      <x:c r="L373" s="61" t="str">
        <x:f>IF(OR(B373="",$I$6&lt;&gt;"Complete"),"",IF(K373&lt;0,1,0))</x:f>
      </x:c>
    </x:row>
    <x:row r="374" ht="23" customHeight="1">
      <x:c r="A374" s="2"/>
      <x:c r="B374" s="60" t="str">
        <x:f>IF($D$6&lt;&gt;"Complete","",IF('Inputs'!$C$47+304&lt;=$D$9,'Inputs'!$C$47+304,""))</x:f>
      </x:c>
      <x:c r="C374" s="37" t="str">
        <x:f>IF(B374="","",SUMIFS($D$14:$D$23,$C$14:$C$23,B374))</x:f>
      </x:c>
      <x:c r="D374" s="37" t="str">
        <x:f>IF(B374="","",SUMIFS($E$14:$E$23,$C$14:$C$23,B374))</x:f>
      </x:c>
      <x:c r="E374" s="37" t="str">
        <x:f>IF(B374="","",C374-D374)</x:f>
      </x:c>
      <x:c r="F374" s="37" t="str">
        <x:f>IF(B374="","",F373+E374)</x:f>
      </x:c>
      <x:c r="G374" s="37" t="str">
        <x:f>IF(OR(B374="",$I$6&lt;&gt;"Complete"),"",SUMIFS($D$32:$D$51,$C$32:$C$51,B374,$I$32:$I$51,"Ready"))</x:f>
      </x:c>
      <x:c r="H374" s="37" t="str">
        <x:f>IF(OR(B374="",$I$6&lt;&gt;"Complete"),"",SUMIFS($E$32:$E$51,$C$32:$C$51,B374,$I$32:$I$51,"Ready"))</x:f>
      </x:c>
      <x:c r="I374" s="37" t="str">
        <x:f>IF(OR(B374="",$I$6&lt;&gt;"Complete"),"",I373+E374+G374-H374)</x:f>
      </x:c>
      <x:c r="J374" s="37" t="str">
        <x:f>IF(OR(B374="",$I$6&lt;&gt;"Complete"),"",'Inputs'!$C$49)</x:f>
      </x:c>
      <x:c r="K374" s="37" t="str">
        <x:f>IF(OR(B374="",$I$6&lt;&gt;"Complete"),"",I374-J374)</x:f>
      </x:c>
      <x:c r="L374" s="61" t="str">
        <x:f>IF(OR(B374="",$I$6&lt;&gt;"Complete"),"",IF(K374&lt;0,1,0))</x:f>
      </x:c>
    </x:row>
    <x:row r="375" ht="23" customHeight="1">
      <x:c r="A375" s="2"/>
      <x:c r="B375" s="60" t="str">
        <x:f>IF($D$6&lt;&gt;"Complete","",IF('Inputs'!$C$47+305&lt;=$D$9,'Inputs'!$C$47+305,""))</x:f>
      </x:c>
      <x:c r="C375" s="37" t="str">
        <x:f>IF(B375="","",SUMIFS($D$14:$D$23,$C$14:$C$23,B375))</x:f>
      </x:c>
      <x:c r="D375" s="37" t="str">
        <x:f>IF(B375="","",SUMIFS($E$14:$E$23,$C$14:$C$23,B375))</x:f>
      </x:c>
      <x:c r="E375" s="37" t="str">
        <x:f>IF(B375="","",C375-D375)</x:f>
      </x:c>
      <x:c r="F375" s="37" t="str">
        <x:f>IF(B375="","",F374+E375)</x:f>
      </x:c>
      <x:c r="G375" s="37" t="str">
        <x:f>IF(OR(B375="",$I$6&lt;&gt;"Complete"),"",SUMIFS($D$32:$D$51,$C$32:$C$51,B375,$I$32:$I$51,"Ready"))</x:f>
      </x:c>
      <x:c r="H375" s="37" t="str">
        <x:f>IF(OR(B375="",$I$6&lt;&gt;"Complete"),"",SUMIFS($E$32:$E$51,$C$32:$C$51,B375,$I$32:$I$51,"Ready"))</x:f>
      </x:c>
      <x:c r="I375" s="37" t="str">
        <x:f>IF(OR(B375="",$I$6&lt;&gt;"Complete"),"",I374+E375+G375-H375)</x:f>
      </x:c>
      <x:c r="J375" s="37" t="str">
        <x:f>IF(OR(B375="",$I$6&lt;&gt;"Complete"),"",'Inputs'!$C$49)</x:f>
      </x:c>
      <x:c r="K375" s="37" t="str">
        <x:f>IF(OR(B375="",$I$6&lt;&gt;"Complete"),"",I375-J375)</x:f>
      </x:c>
      <x:c r="L375" s="61" t="str">
        <x:f>IF(OR(B375="",$I$6&lt;&gt;"Complete"),"",IF(K375&lt;0,1,0))</x:f>
      </x:c>
    </x:row>
    <x:row r="376" ht="23" customHeight="1">
      <x:c r="A376" s="2"/>
      <x:c r="B376" s="60" t="str">
        <x:f>IF($D$6&lt;&gt;"Complete","",IF('Inputs'!$C$47+306&lt;=$D$9,'Inputs'!$C$47+306,""))</x:f>
      </x:c>
      <x:c r="C376" s="37" t="str">
        <x:f>IF(B376="","",SUMIFS($D$14:$D$23,$C$14:$C$23,B376))</x:f>
      </x:c>
      <x:c r="D376" s="37" t="str">
        <x:f>IF(B376="","",SUMIFS($E$14:$E$23,$C$14:$C$23,B376))</x:f>
      </x:c>
      <x:c r="E376" s="37" t="str">
        <x:f>IF(B376="","",C376-D376)</x:f>
      </x:c>
      <x:c r="F376" s="37" t="str">
        <x:f>IF(B376="","",F375+E376)</x:f>
      </x:c>
      <x:c r="G376" s="37" t="str">
        <x:f>IF(OR(B376="",$I$6&lt;&gt;"Complete"),"",SUMIFS($D$32:$D$51,$C$32:$C$51,B376,$I$32:$I$51,"Ready"))</x:f>
      </x:c>
      <x:c r="H376" s="37" t="str">
        <x:f>IF(OR(B376="",$I$6&lt;&gt;"Complete"),"",SUMIFS($E$32:$E$51,$C$32:$C$51,B376,$I$32:$I$51,"Ready"))</x:f>
      </x:c>
      <x:c r="I376" s="37" t="str">
        <x:f>IF(OR(B376="",$I$6&lt;&gt;"Complete"),"",I375+E376+G376-H376)</x:f>
      </x:c>
      <x:c r="J376" s="37" t="str">
        <x:f>IF(OR(B376="",$I$6&lt;&gt;"Complete"),"",'Inputs'!$C$49)</x:f>
      </x:c>
      <x:c r="K376" s="37" t="str">
        <x:f>IF(OR(B376="",$I$6&lt;&gt;"Complete"),"",I376-J376)</x:f>
      </x:c>
      <x:c r="L376" s="61" t="str">
        <x:f>IF(OR(B376="",$I$6&lt;&gt;"Complete"),"",IF(K376&lt;0,1,0))</x:f>
      </x:c>
    </x:row>
    <x:row r="377" ht="23" customHeight="1">
      <x:c r="A377" s="2"/>
      <x:c r="B377" s="60" t="str">
        <x:f>IF($D$6&lt;&gt;"Complete","",IF('Inputs'!$C$47+307&lt;=$D$9,'Inputs'!$C$47+307,""))</x:f>
      </x:c>
      <x:c r="C377" s="37" t="str">
        <x:f>IF(B377="","",SUMIFS($D$14:$D$23,$C$14:$C$23,B377))</x:f>
      </x:c>
      <x:c r="D377" s="37" t="str">
        <x:f>IF(B377="","",SUMIFS($E$14:$E$23,$C$14:$C$23,B377))</x:f>
      </x:c>
      <x:c r="E377" s="37" t="str">
        <x:f>IF(B377="","",C377-D377)</x:f>
      </x:c>
      <x:c r="F377" s="37" t="str">
        <x:f>IF(B377="","",F376+E377)</x:f>
      </x:c>
      <x:c r="G377" s="37" t="str">
        <x:f>IF(OR(B377="",$I$6&lt;&gt;"Complete"),"",SUMIFS($D$32:$D$51,$C$32:$C$51,B377,$I$32:$I$51,"Ready"))</x:f>
      </x:c>
      <x:c r="H377" s="37" t="str">
        <x:f>IF(OR(B377="",$I$6&lt;&gt;"Complete"),"",SUMIFS($E$32:$E$51,$C$32:$C$51,B377,$I$32:$I$51,"Ready"))</x:f>
      </x:c>
      <x:c r="I377" s="37" t="str">
        <x:f>IF(OR(B377="",$I$6&lt;&gt;"Complete"),"",I376+E377+G377-H377)</x:f>
      </x:c>
      <x:c r="J377" s="37" t="str">
        <x:f>IF(OR(B377="",$I$6&lt;&gt;"Complete"),"",'Inputs'!$C$49)</x:f>
      </x:c>
      <x:c r="K377" s="37" t="str">
        <x:f>IF(OR(B377="",$I$6&lt;&gt;"Complete"),"",I377-J377)</x:f>
      </x:c>
      <x:c r="L377" s="61" t="str">
        <x:f>IF(OR(B377="",$I$6&lt;&gt;"Complete"),"",IF(K377&lt;0,1,0))</x:f>
      </x:c>
    </x:row>
    <x:row r="378" ht="23" customHeight="1">
      <x:c r="A378" s="2"/>
      <x:c r="B378" s="60" t="str">
        <x:f>IF($D$6&lt;&gt;"Complete","",IF('Inputs'!$C$47+308&lt;=$D$9,'Inputs'!$C$47+308,""))</x:f>
      </x:c>
      <x:c r="C378" s="37" t="str">
        <x:f>IF(B378="","",SUMIFS($D$14:$D$23,$C$14:$C$23,B378))</x:f>
      </x:c>
      <x:c r="D378" s="37" t="str">
        <x:f>IF(B378="","",SUMIFS($E$14:$E$23,$C$14:$C$23,B378))</x:f>
      </x:c>
      <x:c r="E378" s="37" t="str">
        <x:f>IF(B378="","",C378-D378)</x:f>
      </x:c>
      <x:c r="F378" s="37" t="str">
        <x:f>IF(B378="","",F377+E378)</x:f>
      </x:c>
      <x:c r="G378" s="37" t="str">
        <x:f>IF(OR(B378="",$I$6&lt;&gt;"Complete"),"",SUMIFS($D$32:$D$51,$C$32:$C$51,B378,$I$32:$I$51,"Ready"))</x:f>
      </x:c>
      <x:c r="H378" s="37" t="str">
        <x:f>IF(OR(B378="",$I$6&lt;&gt;"Complete"),"",SUMIFS($E$32:$E$51,$C$32:$C$51,B378,$I$32:$I$51,"Ready"))</x:f>
      </x:c>
      <x:c r="I378" s="37" t="str">
        <x:f>IF(OR(B378="",$I$6&lt;&gt;"Complete"),"",I377+E378+G378-H378)</x:f>
      </x:c>
      <x:c r="J378" s="37" t="str">
        <x:f>IF(OR(B378="",$I$6&lt;&gt;"Complete"),"",'Inputs'!$C$49)</x:f>
      </x:c>
      <x:c r="K378" s="37" t="str">
        <x:f>IF(OR(B378="",$I$6&lt;&gt;"Complete"),"",I378-J378)</x:f>
      </x:c>
      <x:c r="L378" s="61" t="str">
        <x:f>IF(OR(B378="",$I$6&lt;&gt;"Complete"),"",IF(K378&lt;0,1,0))</x:f>
      </x:c>
    </x:row>
    <x:row r="379" ht="23" customHeight="1">
      <x:c r="A379" s="2"/>
      <x:c r="B379" s="60" t="str">
        <x:f>IF($D$6&lt;&gt;"Complete","",IF('Inputs'!$C$47+309&lt;=$D$9,'Inputs'!$C$47+309,""))</x:f>
      </x:c>
      <x:c r="C379" s="37" t="str">
        <x:f>IF(B379="","",SUMIFS($D$14:$D$23,$C$14:$C$23,B379))</x:f>
      </x:c>
      <x:c r="D379" s="37" t="str">
        <x:f>IF(B379="","",SUMIFS($E$14:$E$23,$C$14:$C$23,B379))</x:f>
      </x:c>
      <x:c r="E379" s="37" t="str">
        <x:f>IF(B379="","",C379-D379)</x:f>
      </x:c>
      <x:c r="F379" s="37" t="str">
        <x:f>IF(B379="","",F378+E379)</x:f>
      </x:c>
      <x:c r="G379" s="37" t="str">
        <x:f>IF(OR(B379="",$I$6&lt;&gt;"Complete"),"",SUMIFS($D$32:$D$51,$C$32:$C$51,B379,$I$32:$I$51,"Ready"))</x:f>
      </x:c>
      <x:c r="H379" s="37" t="str">
        <x:f>IF(OR(B379="",$I$6&lt;&gt;"Complete"),"",SUMIFS($E$32:$E$51,$C$32:$C$51,B379,$I$32:$I$51,"Ready"))</x:f>
      </x:c>
      <x:c r="I379" s="37" t="str">
        <x:f>IF(OR(B379="",$I$6&lt;&gt;"Complete"),"",I378+E379+G379-H379)</x:f>
      </x:c>
      <x:c r="J379" s="37" t="str">
        <x:f>IF(OR(B379="",$I$6&lt;&gt;"Complete"),"",'Inputs'!$C$49)</x:f>
      </x:c>
      <x:c r="K379" s="37" t="str">
        <x:f>IF(OR(B379="",$I$6&lt;&gt;"Complete"),"",I379-J379)</x:f>
      </x:c>
      <x:c r="L379" s="61" t="str">
        <x:f>IF(OR(B379="",$I$6&lt;&gt;"Complete"),"",IF(K379&lt;0,1,0))</x:f>
      </x:c>
    </x:row>
    <x:row r="380" ht="23" customHeight="1">
      <x:c r="A380" s="2"/>
      <x:c r="B380" s="60" t="str">
        <x:f>IF($D$6&lt;&gt;"Complete","",IF('Inputs'!$C$47+310&lt;=$D$9,'Inputs'!$C$47+310,""))</x:f>
      </x:c>
      <x:c r="C380" s="37" t="str">
        <x:f>IF(B380="","",SUMIFS($D$14:$D$23,$C$14:$C$23,B380))</x:f>
      </x:c>
      <x:c r="D380" s="37" t="str">
        <x:f>IF(B380="","",SUMIFS($E$14:$E$23,$C$14:$C$23,B380))</x:f>
      </x:c>
      <x:c r="E380" s="37" t="str">
        <x:f>IF(B380="","",C380-D380)</x:f>
      </x:c>
      <x:c r="F380" s="37" t="str">
        <x:f>IF(B380="","",F379+E380)</x:f>
      </x:c>
      <x:c r="G380" s="37" t="str">
        <x:f>IF(OR(B380="",$I$6&lt;&gt;"Complete"),"",SUMIFS($D$32:$D$51,$C$32:$C$51,B380,$I$32:$I$51,"Ready"))</x:f>
      </x:c>
      <x:c r="H380" s="37" t="str">
        <x:f>IF(OR(B380="",$I$6&lt;&gt;"Complete"),"",SUMIFS($E$32:$E$51,$C$32:$C$51,B380,$I$32:$I$51,"Ready"))</x:f>
      </x:c>
      <x:c r="I380" s="37" t="str">
        <x:f>IF(OR(B380="",$I$6&lt;&gt;"Complete"),"",I379+E380+G380-H380)</x:f>
      </x:c>
      <x:c r="J380" s="37" t="str">
        <x:f>IF(OR(B380="",$I$6&lt;&gt;"Complete"),"",'Inputs'!$C$49)</x:f>
      </x:c>
      <x:c r="K380" s="37" t="str">
        <x:f>IF(OR(B380="",$I$6&lt;&gt;"Complete"),"",I380-J380)</x:f>
      </x:c>
      <x:c r="L380" s="61" t="str">
        <x:f>IF(OR(B380="",$I$6&lt;&gt;"Complete"),"",IF(K380&lt;0,1,0))</x:f>
      </x:c>
    </x:row>
    <x:row r="381" ht="23" customHeight="1">
      <x:c r="A381" s="2"/>
      <x:c r="B381" s="60" t="str">
        <x:f>IF($D$6&lt;&gt;"Complete","",IF('Inputs'!$C$47+311&lt;=$D$9,'Inputs'!$C$47+311,""))</x:f>
      </x:c>
      <x:c r="C381" s="37" t="str">
        <x:f>IF(B381="","",SUMIFS($D$14:$D$23,$C$14:$C$23,B381))</x:f>
      </x:c>
      <x:c r="D381" s="37" t="str">
        <x:f>IF(B381="","",SUMIFS($E$14:$E$23,$C$14:$C$23,B381))</x:f>
      </x:c>
      <x:c r="E381" s="37" t="str">
        <x:f>IF(B381="","",C381-D381)</x:f>
      </x:c>
      <x:c r="F381" s="37" t="str">
        <x:f>IF(B381="","",F380+E381)</x:f>
      </x:c>
      <x:c r="G381" s="37" t="str">
        <x:f>IF(OR(B381="",$I$6&lt;&gt;"Complete"),"",SUMIFS($D$32:$D$51,$C$32:$C$51,B381,$I$32:$I$51,"Ready"))</x:f>
      </x:c>
      <x:c r="H381" s="37" t="str">
        <x:f>IF(OR(B381="",$I$6&lt;&gt;"Complete"),"",SUMIFS($E$32:$E$51,$C$32:$C$51,B381,$I$32:$I$51,"Ready"))</x:f>
      </x:c>
      <x:c r="I381" s="37" t="str">
        <x:f>IF(OR(B381="",$I$6&lt;&gt;"Complete"),"",I380+E381+G381-H381)</x:f>
      </x:c>
      <x:c r="J381" s="37" t="str">
        <x:f>IF(OR(B381="",$I$6&lt;&gt;"Complete"),"",'Inputs'!$C$49)</x:f>
      </x:c>
      <x:c r="K381" s="37" t="str">
        <x:f>IF(OR(B381="",$I$6&lt;&gt;"Complete"),"",I381-J381)</x:f>
      </x:c>
      <x:c r="L381" s="61" t="str">
        <x:f>IF(OR(B381="",$I$6&lt;&gt;"Complete"),"",IF(K381&lt;0,1,0))</x:f>
      </x:c>
    </x:row>
    <x:row r="382" ht="23" customHeight="1">
      <x:c r="A382" s="2"/>
      <x:c r="B382" s="60" t="str">
        <x:f>IF($D$6&lt;&gt;"Complete","",IF('Inputs'!$C$47+312&lt;=$D$9,'Inputs'!$C$47+312,""))</x:f>
      </x:c>
      <x:c r="C382" s="37" t="str">
        <x:f>IF(B382="","",SUMIFS($D$14:$D$23,$C$14:$C$23,B382))</x:f>
      </x:c>
      <x:c r="D382" s="37" t="str">
        <x:f>IF(B382="","",SUMIFS($E$14:$E$23,$C$14:$C$23,B382))</x:f>
      </x:c>
      <x:c r="E382" s="37" t="str">
        <x:f>IF(B382="","",C382-D382)</x:f>
      </x:c>
      <x:c r="F382" s="37" t="str">
        <x:f>IF(B382="","",F381+E382)</x:f>
      </x:c>
      <x:c r="G382" s="37" t="str">
        <x:f>IF(OR(B382="",$I$6&lt;&gt;"Complete"),"",SUMIFS($D$32:$D$51,$C$32:$C$51,B382,$I$32:$I$51,"Ready"))</x:f>
      </x:c>
      <x:c r="H382" s="37" t="str">
        <x:f>IF(OR(B382="",$I$6&lt;&gt;"Complete"),"",SUMIFS($E$32:$E$51,$C$32:$C$51,B382,$I$32:$I$51,"Ready"))</x:f>
      </x:c>
      <x:c r="I382" s="37" t="str">
        <x:f>IF(OR(B382="",$I$6&lt;&gt;"Complete"),"",I381+E382+G382-H382)</x:f>
      </x:c>
      <x:c r="J382" s="37" t="str">
        <x:f>IF(OR(B382="",$I$6&lt;&gt;"Complete"),"",'Inputs'!$C$49)</x:f>
      </x:c>
      <x:c r="K382" s="37" t="str">
        <x:f>IF(OR(B382="",$I$6&lt;&gt;"Complete"),"",I382-J382)</x:f>
      </x:c>
      <x:c r="L382" s="61" t="str">
        <x:f>IF(OR(B382="",$I$6&lt;&gt;"Complete"),"",IF(K382&lt;0,1,0))</x:f>
      </x:c>
    </x:row>
    <x:row r="383" ht="23" customHeight="1">
      <x:c r="A383" s="2"/>
      <x:c r="B383" s="60" t="str">
        <x:f>IF($D$6&lt;&gt;"Complete","",IF('Inputs'!$C$47+313&lt;=$D$9,'Inputs'!$C$47+313,""))</x:f>
      </x:c>
      <x:c r="C383" s="37" t="str">
        <x:f>IF(B383="","",SUMIFS($D$14:$D$23,$C$14:$C$23,B383))</x:f>
      </x:c>
      <x:c r="D383" s="37" t="str">
        <x:f>IF(B383="","",SUMIFS($E$14:$E$23,$C$14:$C$23,B383))</x:f>
      </x:c>
      <x:c r="E383" s="37" t="str">
        <x:f>IF(B383="","",C383-D383)</x:f>
      </x:c>
      <x:c r="F383" s="37" t="str">
        <x:f>IF(B383="","",F382+E383)</x:f>
      </x:c>
      <x:c r="G383" s="37" t="str">
        <x:f>IF(OR(B383="",$I$6&lt;&gt;"Complete"),"",SUMIFS($D$32:$D$51,$C$32:$C$51,B383,$I$32:$I$51,"Ready"))</x:f>
      </x:c>
      <x:c r="H383" s="37" t="str">
        <x:f>IF(OR(B383="",$I$6&lt;&gt;"Complete"),"",SUMIFS($E$32:$E$51,$C$32:$C$51,B383,$I$32:$I$51,"Ready"))</x:f>
      </x:c>
      <x:c r="I383" s="37" t="str">
        <x:f>IF(OR(B383="",$I$6&lt;&gt;"Complete"),"",I382+E383+G383-H383)</x:f>
      </x:c>
      <x:c r="J383" s="37" t="str">
        <x:f>IF(OR(B383="",$I$6&lt;&gt;"Complete"),"",'Inputs'!$C$49)</x:f>
      </x:c>
      <x:c r="K383" s="37" t="str">
        <x:f>IF(OR(B383="",$I$6&lt;&gt;"Complete"),"",I383-J383)</x:f>
      </x:c>
      <x:c r="L383" s="61" t="str">
        <x:f>IF(OR(B383="",$I$6&lt;&gt;"Complete"),"",IF(K383&lt;0,1,0))</x:f>
      </x:c>
    </x:row>
    <x:row r="384" ht="23" customHeight="1">
      <x:c r="A384" s="2"/>
      <x:c r="B384" s="60" t="str">
        <x:f>IF($D$6&lt;&gt;"Complete","",IF('Inputs'!$C$47+314&lt;=$D$9,'Inputs'!$C$47+314,""))</x:f>
      </x:c>
      <x:c r="C384" s="37" t="str">
        <x:f>IF(B384="","",SUMIFS($D$14:$D$23,$C$14:$C$23,B384))</x:f>
      </x:c>
      <x:c r="D384" s="37" t="str">
        <x:f>IF(B384="","",SUMIFS($E$14:$E$23,$C$14:$C$23,B384))</x:f>
      </x:c>
      <x:c r="E384" s="37" t="str">
        <x:f>IF(B384="","",C384-D384)</x:f>
      </x:c>
      <x:c r="F384" s="37" t="str">
        <x:f>IF(B384="","",F383+E384)</x:f>
      </x:c>
      <x:c r="G384" s="37" t="str">
        <x:f>IF(OR(B384="",$I$6&lt;&gt;"Complete"),"",SUMIFS($D$32:$D$51,$C$32:$C$51,B384,$I$32:$I$51,"Ready"))</x:f>
      </x:c>
      <x:c r="H384" s="37" t="str">
        <x:f>IF(OR(B384="",$I$6&lt;&gt;"Complete"),"",SUMIFS($E$32:$E$51,$C$32:$C$51,B384,$I$32:$I$51,"Ready"))</x:f>
      </x:c>
      <x:c r="I384" s="37" t="str">
        <x:f>IF(OR(B384="",$I$6&lt;&gt;"Complete"),"",I383+E384+G384-H384)</x:f>
      </x:c>
      <x:c r="J384" s="37" t="str">
        <x:f>IF(OR(B384="",$I$6&lt;&gt;"Complete"),"",'Inputs'!$C$49)</x:f>
      </x:c>
      <x:c r="K384" s="37" t="str">
        <x:f>IF(OR(B384="",$I$6&lt;&gt;"Complete"),"",I384-J384)</x:f>
      </x:c>
      <x:c r="L384" s="61" t="str">
        <x:f>IF(OR(B384="",$I$6&lt;&gt;"Complete"),"",IF(K384&lt;0,1,0))</x:f>
      </x:c>
    </x:row>
    <x:row r="385" ht="23" customHeight="1">
      <x:c r="A385" s="2"/>
      <x:c r="B385" s="60" t="str">
        <x:f>IF($D$6&lt;&gt;"Complete","",IF('Inputs'!$C$47+315&lt;=$D$9,'Inputs'!$C$47+315,""))</x:f>
      </x:c>
      <x:c r="C385" s="37" t="str">
        <x:f>IF(B385="","",SUMIFS($D$14:$D$23,$C$14:$C$23,B385))</x:f>
      </x:c>
      <x:c r="D385" s="37" t="str">
        <x:f>IF(B385="","",SUMIFS($E$14:$E$23,$C$14:$C$23,B385))</x:f>
      </x:c>
      <x:c r="E385" s="37" t="str">
        <x:f>IF(B385="","",C385-D385)</x:f>
      </x:c>
      <x:c r="F385" s="37" t="str">
        <x:f>IF(B385="","",F384+E385)</x:f>
      </x:c>
      <x:c r="G385" s="37" t="str">
        <x:f>IF(OR(B385="",$I$6&lt;&gt;"Complete"),"",SUMIFS($D$32:$D$51,$C$32:$C$51,B385,$I$32:$I$51,"Ready"))</x:f>
      </x:c>
      <x:c r="H385" s="37" t="str">
        <x:f>IF(OR(B385="",$I$6&lt;&gt;"Complete"),"",SUMIFS($E$32:$E$51,$C$32:$C$51,B385,$I$32:$I$51,"Ready"))</x:f>
      </x:c>
      <x:c r="I385" s="37" t="str">
        <x:f>IF(OR(B385="",$I$6&lt;&gt;"Complete"),"",I384+E385+G385-H385)</x:f>
      </x:c>
      <x:c r="J385" s="37" t="str">
        <x:f>IF(OR(B385="",$I$6&lt;&gt;"Complete"),"",'Inputs'!$C$49)</x:f>
      </x:c>
      <x:c r="K385" s="37" t="str">
        <x:f>IF(OR(B385="",$I$6&lt;&gt;"Complete"),"",I385-J385)</x:f>
      </x:c>
      <x:c r="L385" s="61" t="str">
        <x:f>IF(OR(B385="",$I$6&lt;&gt;"Complete"),"",IF(K385&lt;0,1,0))</x:f>
      </x:c>
    </x:row>
    <x:row r="386" ht="23" customHeight="1">
      <x:c r="A386" s="2"/>
      <x:c r="B386" s="60" t="str">
        <x:f>IF($D$6&lt;&gt;"Complete","",IF('Inputs'!$C$47+316&lt;=$D$9,'Inputs'!$C$47+316,""))</x:f>
      </x:c>
      <x:c r="C386" s="37" t="str">
        <x:f>IF(B386="","",SUMIFS($D$14:$D$23,$C$14:$C$23,B386))</x:f>
      </x:c>
      <x:c r="D386" s="37" t="str">
        <x:f>IF(B386="","",SUMIFS($E$14:$E$23,$C$14:$C$23,B386))</x:f>
      </x:c>
      <x:c r="E386" s="37" t="str">
        <x:f>IF(B386="","",C386-D386)</x:f>
      </x:c>
      <x:c r="F386" s="37" t="str">
        <x:f>IF(B386="","",F385+E386)</x:f>
      </x:c>
      <x:c r="G386" s="37" t="str">
        <x:f>IF(OR(B386="",$I$6&lt;&gt;"Complete"),"",SUMIFS($D$32:$D$51,$C$32:$C$51,B386,$I$32:$I$51,"Ready"))</x:f>
      </x:c>
      <x:c r="H386" s="37" t="str">
        <x:f>IF(OR(B386="",$I$6&lt;&gt;"Complete"),"",SUMIFS($E$32:$E$51,$C$32:$C$51,B386,$I$32:$I$51,"Ready"))</x:f>
      </x:c>
      <x:c r="I386" s="37" t="str">
        <x:f>IF(OR(B386="",$I$6&lt;&gt;"Complete"),"",I385+E386+G386-H386)</x:f>
      </x:c>
      <x:c r="J386" s="37" t="str">
        <x:f>IF(OR(B386="",$I$6&lt;&gt;"Complete"),"",'Inputs'!$C$49)</x:f>
      </x:c>
      <x:c r="K386" s="37" t="str">
        <x:f>IF(OR(B386="",$I$6&lt;&gt;"Complete"),"",I386-J386)</x:f>
      </x:c>
      <x:c r="L386" s="61" t="str">
        <x:f>IF(OR(B386="",$I$6&lt;&gt;"Complete"),"",IF(K386&lt;0,1,0))</x:f>
      </x:c>
    </x:row>
    <x:row r="387" ht="23" customHeight="1">
      <x:c r="A387" s="2"/>
      <x:c r="B387" s="60" t="str">
        <x:f>IF($D$6&lt;&gt;"Complete","",IF('Inputs'!$C$47+317&lt;=$D$9,'Inputs'!$C$47+317,""))</x:f>
      </x:c>
      <x:c r="C387" s="37" t="str">
        <x:f>IF(B387="","",SUMIFS($D$14:$D$23,$C$14:$C$23,B387))</x:f>
      </x:c>
      <x:c r="D387" s="37" t="str">
        <x:f>IF(B387="","",SUMIFS($E$14:$E$23,$C$14:$C$23,B387))</x:f>
      </x:c>
      <x:c r="E387" s="37" t="str">
        <x:f>IF(B387="","",C387-D387)</x:f>
      </x:c>
      <x:c r="F387" s="37" t="str">
        <x:f>IF(B387="","",F386+E387)</x:f>
      </x:c>
      <x:c r="G387" s="37" t="str">
        <x:f>IF(OR(B387="",$I$6&lt;&gt;"Complete"),"",SUMIFS($D$32:$D$51,$C$32:$C$51,B387,$I$32:$I$51,"Ready"))</x:f>
      </x:c>
      <x:c r="H387" s="37" t="str">
        <x:f>IF(OR(B387="",$I$6&lt;&gt;"Complete"),"",SUMIFS($E$32:$E$51,$C$32:$C$51,B387,$I$32:$I$51,"Ready"))</x:f>
      </x:c>
      <x:c r="I387" s="37" t="str">
        <x:f>IF(OR(B387="",$I$6&lt;&gt;"Complete"),"",I386+E387+G387-H387)</x:f>
      </x:c>
      <x:c r="J387" s="37" t="str">
        <x:f>IF(OR(B387="",$I$6&lt;&gt;"Complete"),"",'Inputs'!$C$49)</x:f>
      </x:c>
      <x:c r="K387" s="37" t="str">
        <x:f>IF(OR(B387="",$I$6&lt;&gt;"Complete"),"",I387-J387)</x:f>
      </x:c>
      <x:c r="L387" s="61" t="str">
        <x:f>IF(OR(B387="",$I$6&lt;&gt;"Complete"),"",IF(K387&lt;0,1,0))</x:f>
      </x:c>
    </x:row>
    <x:row r="388" ht="23" customHeight="1">
      <x:c r="A388" s="2"/>
      <x:c r="B388" s="60" t="str">
        <x:f>IF($D$6&lt;&gt;"Complete","",IF('Inputs'!$C$47+318&lt;=$D$9,'Inputs'!$C$47+318,""))</x:f>
      </x:c>
      <x:c r="C388" s="37" t="str">
        <x:f>IF(B388="","",SUMIFS($D$14:$D$23,$C$14:$C$23,B388))</x:f>
      </x:c>
      <x:c r="D388" s="37" t="str">
        <x:f>IF(B388="","",SUMIFS($E$14:$E$23,$C$14:$C$23,B388))</x:f>
      </x:c>
      <x:c r="E388" s="37" t="str">
        <x:f>IF(B388="","",C388-D388)</x:f>
      </x:c>
      <x:c r="F388" s="37" t="str">
        <x:f>IF(B388="","",F387+E388)</x:f>
      </x:c>
      <x:c r="G388" s="37" t="str">
        <x:f>IF(OR(B388="",$I$6&lt;&gt;"Complete"),"",SUMIFS($D$32:$D$51,$C$32:$C$51,B388,$I$32:$I$51,"Ready"))</x:f>
      </x:c>
      <x:c r="H388" s="37" t="str">
        <x:f>IF(OR(B388="",$I$6&lt;&gt;"Complete"),"",SUMIFS($E$32:$E$51,$C$32:$C$51,B388,$I$32:$I$51,"Ready"))</x:f>
      </x:c>
      <x:c r="I388" s="37" t="str">
        <x:f>IF(OR(B388="",$I$6&lt;&gt;"Complete"),"",I387+E388+G388-H388)</x:f>
      </x:c>
      <x:c r="J388" s="37" t="str">
        <x:f>IF(OR(B388="",$I$6&lt;&gt;"Complete"),"",'Inputs'!$C$49)</x:f>
      </x:c>
      <x:c r="K388" s="37" t="str">
        <x:f>IF(OR(B388="",$I$6&lt;&gt;"Complete"),"",I388-J388)</x:f>
      </x:c>
      <x:c r="L388" s="61" t="str">
        <x:f>IF(OR(B388="",$I$6&lt;&gt;"Complete"),"",IF(K388&lt;0,1,0))</x:f>
      </x:c>
    </x:row>
    <x:row r="389" ht="23" customHeight="1">
      <x:c r="A389" s="2"/>
      <x:c r="B389" s="60" t="str">
        <x:f>IF($D$6&lt;&gt;"Complete","",IF('Inputs'!$C$47+319&lt;=$D$9,'Inputs'!$C$47+319,""))</x:f>
      </x:c>
      <x:c r="C389" s="37" t="str">
        <x:f>IF(B389="","",SUMIFS($D$14:$D$23,$C$14:$C$23,B389))</x:f>
      </x:c>
      <x:c r="D389" s="37" t="str">
        <x:f>IF(B389="","",SUMIFS($E$14:$E$23,$C$14:$C$23,B389))</x:f>
      </x:c>
      <x:c r="E389" s="37" t="str">
        <x:f>IF(B389="","",C389-D389)</x:f>
      </x:c>
      <x:c r="F389" s="37" t="str">
        <x:f>IF(B389="","",F388+E389)</x:f>
      </x:c>
      <x:c r="G389" s="37" t="str">
        <x:f>IF(OR(B389="",$I$6&lt;&gt;"Complete"),"",SUMIFS($D$32:$D$51,$C$32:$C$51,B389,$I$32:$I$51,"Ready"))</x:f>
      </x:c>
      <x:c r="H389" s="37" t="str">
        <x:f>IF(OR(B389="",$I$6&lt;&gt;"Complete"),"",SUMIFS($E$32:$E$51,$C$32:$C$51,B389,$I$32:$I$51,"Ready"))</x:f>
      </x:c>
      <x:c r="I389" s="37" t="str">
        <x:f>IF(OR(B389="",$I$6&lt;&gt;"Complete"),"",I388+E389+G389-H389)</x:f>
      </x:c>
      <x:c r="J389" s="37" t="str">
        <x:f>IF(OR(B389="",$I$6&lt;&gt;"Complete"),"",'Inputs'!$C$49)</x:f>
      </x:c>
      <x:c r="K389" s="37" t="str">
        <x:f>IF(OR(B389="",$I$6&lt;&gt;"Complete"),"",I389-J389)</x:f>
      </x:c>
      <x:c r="L389" s="61" t="str">
        <x:f>IF(OR(B389="",$I$6&lt;&gt;"Complete"),"",IF(K389&lt;0,1,0))</x:f>
      </x:c>
    </x:row>
    <x:row r="390" ht="23" customHeight="1">
      <x:c r="A390" s="2"/>
      <x:c r="B390" s="60" t="str">
        <x:f>IF($D$6&lt;&gt;"Complete","",IF('Inputs'!$C$47+320&lt;=$D$9,'Inputs'!$C$47+320,""))</x:f>
      </x:c>
      <x:c r="C390" s="37" t="str">
        <x:f>IF(B390="","",SUMIFS($D$14:$D$23,$C$14:$C$23,B390))</x:f>
      </x:c>
      <x:c r="D390" s="37" t="str">
        <x:f>IF(B390="","",SUMIFS($E$14:$E$23,$C$14:$C$23,B390))</x:f>
      </x:c>
      <x:c r="E390" s="37" t="str">
        <x:f>IF(B390="","",C390-D390)</x:f>
      </x:c>
      <x:c r="F390" s="37" t="str">
        <x:f>IF(B390="","",F389+E390)</x:f>
      </x:c>
      <x:c r="G390" s="37" t="str">
        <x:f>IF(OR(B390="",$I$6&lt;&gt;"Complete"),"",SUMIFS($D$32:$D$51,$C$32:$C$51,B390,$I$32:$I$51,"Ready"))</x:f>
      </x:c>
      <x:c r="H390" s="37" t="str">
        <x:f>IF(OR(B390="",$I$6&lt;&gt;"Complete"),"",SUMIFS($E$32:$E$51,$C$32:$C$51,B390,$I$32:$I$51,"Ready"))</x:f>
      </x:c>
      <x:c r="I390" s="37" t="str">
        <x:f>IF(OR(B390="",$I$6&lt;&gt;"Complete"),"",I389+E390+G390-H390)</x:f>
      </x:c>
      <x:c r="J390" s="37" t="str">
        <x:f>IF(OR(B390="",$I$6&lt;&gt;"Complete"),"",'Inputs'!$C$49)</x:f>
      </x:c>
      <x:c r="K390" s="37" t="str">
        <x:f>IF(OR(B390="",$I$6&lt;&gt;"Complete"),"",I390-J390)</x:f>
      </x:c>
      <x:c r="L390" s="61" t="str">
        <x:f>IF(OR(B390="",$I$6&lt;&gt;"Complete"),"",IF(K390&lt;0,1,0))</x:f>
      </x:c>
    </x:row>
    <x:row r="391" ht="23" customHeight="1">
      <x:c r="A391" s="2"/>
      <x:c r="B391" s="60" t="str">
        <x:f>IF($D$6&lt;&gt;"Complete","",IF('Inputs'!$C$47+321&lt;=$D$9,'Inputs'!$C$47+321,""))</x:f>
      </x:c>
      <x:c r="C391" s="37" t="str">
        <x:f>IF(B391="","",SUMIFS($D$14:$D$23,$C$14:$C$23,B391))</x:f>
      </x:c>
      <x:c r="D391" s="37" t="str">
        <x:f>IF(B391="","",SUMIFS($E$14:$E$23,$C$14:$C$23,B391))</x:f>
      </x:c>
      <x:c r="E391" s="37" t="str">
        <x:f>IF(B391="","",C391-D391)</x:f>
      </x:c>
      <x:c r="F391" s="37" t="str">
        <x:f>IF(B391="","",F390+E391)</x:f>
      </x:c>
      <x:c r="G391" s="37" t="str">
        <x:f>IF(OR(B391="",$I$6&lt;&gt;"Complete"),"",SUMIFS($D$32:$D$51,$C$32:$C$51,B391,$I$32:$I$51,"Ready"))</x:f>
      </x:c>
      <x:c r="H391" s="37" t="str">
        <x:f>IF(OR(B391="",$I$6&lt;&gt;"Complete"),"",SUMIFS($E$32:$E$51,$C$32:$C$51,B391,$I$32:$I$51,"Ready"))</x:f>
      </x:c>
      <x:c r="I391" s="37" t="str">
        <x:f>IF(OR(B391="",$I$6&lt;&gt;"Complete"),"",I390+E391+G391-H391)</x:f>
      </x:c>
      <x:c r="J391" s="37" t="str">
        <x:f>IF(OR(B391="",$I$6&lt;&gt;"Complete"),"",'Inputs'!$C$49)</x:f>
      </x:c>
      <x:c r="K391" s="37" t="str">
        <x:f>IF(OR(B391="",$I$6&lt;&gt;"Complete"),"",I391-J391)</x:f>
      </x:c>
      <x:c r="L391" s="61" t="str">
        <x:f>IF(OR(B391="",$I$6&lt;&gt;"Complete"),"",IF(K391&lt;0,1,0))</x:f>
      </x:c>
    </x:row>
    <x:row r="392" ht="23" customHeight="1">
      <x:c r="A392" s="2"/>
      <x:c r="B392" s="60" t="str">
        <x:f>IF($D$6&lt;&gt;"Complete","",IF('Inputs'!$C$47+322&lt;=$D$9,'Inputs'!$C$47+322,""))</x:f>
      </x:c>
      <x:c r="C392" s="37" t="str">
        <x:f>IF(B392="","",SUMIFS($D$14:$D$23,$C$14:$C$23,B392))</x:f>
      </x:c>
      <x:c r="D392" s="37" t="str">
        <x:f>IF(B392="","",SUMIFS($E$14:$E$23,$C$14:$C$23,B392))</x:f>
      </x:c>
      <x:c r="E392" s="37" t="str">
        <x:f>IF(B392="","",C392-D392)</x:f>
      </x:c>
      <x:c r="F392" s="37" t="str">
        <x:f>IF(B392="","",F391+E392)</x:f>
      </x:c>
      <x:c r="G392" s="37" t="str">
        <x:f>IF(OR(B392="",$I$6&lt;&gt;"Complete"),"",SUMIFS($D$32:$D$51,$C$32:$C$51,B392,$I$32:$I$51,"Ready"))</x:f>
      </x:c>
      <x:c r="H392" s="37" t="str">
        <x:f>IF(OR(B392="",$I$6&lt;&gt;"Complete"),"",SUMIFS($E$32:$E$51,$C$32:$C$51,B392,$I$32:$I$51,"Ready"))</x:f>
      </x:c>
      <x:c r="I392" s="37" t="str">
        <x:f>IF(OR(B392="",$I$6&lt;&gt;"Complete"),"",I391+E392+G392-H392)</x:f>
      </x:c>
      <x:c r="J392" s="37" t="str">
        <x:f>IF(OR(B392="",$I$6&lt;&gt;"Complete"),"",'Inputs'!$C$49)</x:f>
      </x:c>
      <x:c r="K392" s="37" t="str">
        <x:f>IF(OR(B392="",$I$6&lt;&gt;"Complete"),"",I392-J392)</x:f>
      </x:c>
      <x:c r="L392" s="61" t="str">
        <x:f>IF(OR(B392="",$I$6&lt;&gt;"Complete"),"",IF(K392&lt;0,1,0))</x:f>
      </x:c>
    </x:row>
    <x:row r="393" ht="23" customHeight="1">
      <x:c r="A393" s="2"/>
      <x:c r="B393" s="60" t="str">
        <x:f>IF($D$6&lt;&gt;"Complete","",IF('Inputs'!$C$47+323&lt;=$D$9,'Inputs'!$C$47+323,""))</x:f>
      </x:c>
      <x:c r="C393" s="37" t="str">
        <x:f>IF(B393="","",SUMIFS($D$14:$D$23,$C$14:$C$23,B393))</x:f>
      </x:c>
      <x:c r="D393" s="37" t="str">
        <x:f>IF(B393="","",SUMIFS($E$14:$E$23,$C$14:$C$23,B393))</x:f>
      </x:c>
      <x:c r="E393" s="37" t="str">
        <x:f>IF(B393="","",C393-D393)</x:f>
      </x:c>
      <x:c r="F393" s="37" t="str">
        <x:f>IF(B393="","",F392+E393)</x:f>
      </x:c>
      <x:c r="G393" s="37" t="str">
        <x:f>IF(OR(B393="",$I$6&lt;&gt;"Complete"),"",SUMIFS($D$32:$D$51,$C$32:$C$51,B393,$I$32:$I$51,"Ready"))</x:f>
      </x:c>
      <x:c r="H393" s="37" t="str">
        <x:f>IF(OR(B393="",$I$6&lt;&gt;"Complete"),"",SUMIFS($E$32:$E$51,$C$32:$C$51,B393,$I$32:$I$51,"Ready"))</x:f>
      </x:c>
      <x:c r="I393" s="37" t="str">
        <x:f>IF(OR(B393="",$I$6&lt;&gt;"Complete"),"",I392+E393+G393-H393)</x:f>
      </x:c>
      <x:c r="J393" s="37" t="str">
        <x:f>IF(OR(B393="",$I$6&lt;&gt;"Complete"),"",'Inputs'!$C$49)</x:f>
      </x:c>
      <x:c r="K393" s="37" t="str">
        <x:f>IF(OR(B393="",$I$6&lt;&gt;"Complete"),"",I393-J393)</x:f>
      </x:c>
      <x:c r="L393" s="61" t="str">
        <x:f>IF(OR(B393="",$I$6&lt;&gt;"Complete"),"",IF(K393&lt;0,1,0))</x:f>
      </x:c>
    </x:row>
    <x:row r="394" ht="23" customHeight="1">
      <x:c r="A394" s="2"/>
      <x:c r="B394" s="60" t="str">
        <x:f>IF($D$6&lt;&gt;"Complete","",IF('Inputs'!$C$47+324&lt;=$D$9,'Inputs'!$C$47+324,""))</x:f>
      </x:c>
      <x:c r="C394" s="37" t="str">
        <x:f>IF(B394="","",SUMIFS($D$14:$D$23,$C$14:$C$23,B394))</x:f>
      </x:c>
      <x:c r="D394" s="37" t="str">
        <x:f>IF(B394="","",SUMIFS($E$14:$E$23,$C$14:$C$23,B394))</x:f>
      </x:c>
      <x:c r="E394" s="37" t="str">
        <x:f>IF(B394="","",C394-D394)</x:f>
      </x:c>
      <x:c r="F394" s="37" t="str">
        <x:f>IF(B394="","",F393+E394)</x:f>
      </x:c>
      <x:c r="G394" s="37" t="str">
        <x:f>IF(OR(B394="",$I$6&lt;&gt;"Complete"),"",SUMIFS($D$32:$D$51,$C$32:$C$51,B394,$I$32:$I$51,"Ready"))</x:f>
      </x:c>
      <x:c r="H394" s="37" t="str">
        <x:f>IF(OR(B394="",$I$6&lt;&gt;"Complete"),"",SUMIFS($E$32:$E$51,$C$32:$C$51,B394,$I$32:$I$51,"Ready"))</x:f>
      </x:c>
      <x:c r="I394" s="37" t="str">
        <x:f>IF(OR(B394="",$I$6&lt;&gt;"Complete"),"",I393+E394+G394-H394)</x:f>
      </x:c>
      <x:c r="J394" s="37" t="str">
        <x:f>IF(OR(B394="",$I$6&lt;&gt;"Complete"),"",'Inputs'!$C$49)</x:f>
      </x:c>
      <x:c r="K394" s="37" t="str">
        <x:f>IF(OR(B394="",$I$6&lt;&gt;"Complete"),"",I394-J394)</x:f>
      </x:c>
      <x:c r="L394" s="61" t="str">
        <x:f>IF(OR(B394="",$I$6&lt;&gt;"Complete"),"",IF(K394&lt;0,1,0))</x:f>
      </x:c>
    </x:row>
    <x:row r="395" ht="23" customHeight="1">
      <x:c r="A395" s="2"/>
      <x:c r="B395" s="60" t="str">
        <x:f>IF($D$6&lt;&gt;"Complete","",IF('Inputs'!$C$47+325&lt;=$D$9,'Inputs'!$C$47+325,""))</x:f>
      </x:c>
      <x:c r="C395" s="37" t="str">
        <x:f>IF(B395="","",SUMIFS($D$14:$D$23,$C$14:$C$23,B395))</x:f>
      </x:c>
      <x:c r="D395" s="37" t="str">
        <x:f>IF(B395="","",SUMIFS($E$14:$E$23,$C$14:$C$23,B395))</x:f>
      </x:c>
      <x:c r="E395" s="37" t="str">
        <x:f>IF(B395="","",C395-D395)</x:f>
      </x:c>
      <x:c r="F395" s="37" t="str">
        <x:f>IF(B395="","",F394+E395)</x:f>
      </x:c>
      <x:c r="G395" s="37" t="str">
        <x:f>IF(OR(B395="",$I$6&lt;&gt;"Complete"),"",SUMIFS($D$32:$D$51,$C$32:$C$51,B395,$I$32:$I$51,"Ready"))</x:f>
      </x:c>
      <x:c r="H395" s="37" t="str">
        <x:f>IF(OR(B395="",$I$6&lt;&gt;"Complete"),"",SUMIFS($E$32:$E$51,$C$32:$C$51,B395,$I$32:$I$51,"Ready"))</x:f>
      </x:c>
      <x:c r="I395" s="37" t="str">
        <x:f>IF(OR(B395="",$I$6&lt;&gt;"Complete"),"",I394+E395+G395-H395)</x:f>
      </x:c>
      <x:c r="J395" s="37" t="str">
        <x:f>IF(OR(B395="",$I$6&lt;&gt;"Complete"),"",'Inputs'!$C$49)</x:f>
      </x:c>
      <x:c r="K395" s="37" t="str">
        <x:f>IF(OR(B395="",$I$6&lt;&gt;"Complete"),"",I395-J395)</x:f>
      </x:c>
      <x:c r="L395" s="61" t="str">
        <x:f>IF(OR(B395="",$I$6&lt;&gt;"Complete"),"",IF(K395&lt;0,1,0))</x:f>
      </x:c>
    </x:row>
    <x:row r="396" ht="23" customHeight="1">
      <x:c r="A396" s="2"/>
      <x:c r="B396" s="60" t="str">
        <x:f>IF($D$6&lt;&gt;"Complete","",IF('Inputs'!$C$47+326&lt;=$D$9,'Inputs'!$C$47+326,""))</x:f>
      </x:c>
      <x:c r="C396" s="37" t="str">
        <x:f>IF(B396="","",SUMIFS($D$14:$D$23,$C$14:$C$23,B396))</x:f>
      </x:c>
      <x:c r="D396" s="37" t="str">
        <x:f>IF(B396="","",SUMIFS($E$14:$E$23,$C$14:$C$23,B396))</x:f>
      </x:c>
      <x:c r="E396" s="37" t="str">
        <x:f>IF(B396="","",C396-D396)</x:f>
      </x:c>
      <x:c r="F396" s="37" t="str">
        <x:f>IF(B396="","",F395+E396)</x:f>
      </x:c>
      <x:c r="G396" s="37" t="str">
        <x:f>IF(OR(B396="",$I$6&lt;&gt;"Complete"),"",SUMIFS($D$32:$D$51,$C$32:$C$51,B396,$I$32:$I$51,"Ready"))</x:f>
      </x:c>
      <x:c r="H396" s="37" t="str">
        <x:f>IF(OR(B396="",$I$6&lt;&gt;"Complete"),"",SUMIFS($E$32:$E$51,$C$32:$C$51,B396,$I$32:$I$51,"Ready"))</x:f>
      </x:c>
      <x:c r="I396" s="37" t="str">
        <x:f>IF(OR(B396="",$I$6&lt;&gt;"Complete"),"",I395+E396+G396-H396)</x:f>
      </x:c>
      <x:c r="J396" s="37" t="str">
        <x:f>IF(OR(B396="",$I$6&lt;&gt;"Complete"),"",'Inputs'!$C$49)</x:f>
      </x:c>
      <x:c r="K396" s="37" t="str">
        <x:f>IF(OR(B396="",$I$6&lt;&gt;"Complete"),"",I396-J396)</x:f>
      </x:c>
      <x:c r="L396" s="61" t="str">
        <x:f>IF(OR(B396="",$I$6&lt;&gt;"Complete"),"",IF(K396&lt;0,1,0))</x:f>
      </x:c>
    </x:row>
    <x:row r="397" ht="23" customHeight="1">
      <x:c r="A397" s="2"/>
      <x:c r="B397" s="60" t="str">
        <x:f>IF($D$6&lt;&gt;"Complete","",IF('Inputs'!$C$47+327&lt;=$D$9,'Inputs'!$C$47+327,""))</x:f>
      </x:c>
      <x:c r="C397" s="37" t="str">
        <x:f>IF(B397="","",SUMIFS($D$14:$D$23,$C$14:$C$23,B397))</x:f>
      </x:c>
      <x:c r="D397" s="37" t="str">
        <x:f>IF(B397="","",SUMIFS($E$14:$E$23,$C$14:$C$23,B397))</x:f>
      </x:c>
      <x:c r="E397" s="37" t="str">
        <x:f>IF(B397="","",C397-D397)</x:f>
      </x:c>
      <x:c r="F397" s="37" t="str">
        <x:f>IF(B397="","",F396+E397)</x:f>
      </x:c>
      <x:c r="G397" s="37" t="str">
        <x:f>IF(OR(B397="",$I$6&lt;&gt;"Complete"),"",SUMIFS($D$32:$D$51,$C$32:$C$51,B397,$I$32:$I$51,"Ready"))</x:f>
      </x:c>
      <x:c r="H397" s="37" t="str">
        <x:f>IF(OR(B397="",$I$6&lt;&gt;"Complete"),"",SUMIFS($E$32:$E$51,$C$32:$C$51,B397,$I$32:$I$51,"Ready"))</x:f>
      </x:c>
      <x:c r="I397" s="37" t="str">
        <x:f>IF(OR(B397="",$I$6&lt;&gt;"Complete"),"",I396+E397+G397-H397)</x:f>
      </x:c>
      <x:c r="J397" s="37" t="str">
        <x:f>IF(OR(B397="",$I$6&lt;&gt;"Complete"),"",'Inputs'!$C$49)</x:f>
      </x:c>
      <x:c r="K397" s="37" t="str">
        <x:f>IF(OR(B397="",$I$6&lt;&gt;"Complete"),"",I397-J397)</x:f>
      </x:c>
      <x:c r="L397" s="61" t="str">
        <x:f>IF(OR(B397="",$I$6&lt;&gt;"Complete"),"",IF(K397&lt;0,1,0))</x:f>
      </x:c>
    </x:row>
    <x:row r="398" ht="23" customHeight="1">
      <x:c r="A398" s="2"/>
      <x:c r="B398" s="60" t="str">
        <x:f>IF($D$6&lt;&gt;"Complete","",IF('Inputs'!$C$47+328&lt;=$D$9,'Inputs'!$C$47+328,""))</x:f>
      </x:c>
      <x:c r="C398" s="37" t="str">
        <x:f>IF(B398="","",SUMIFS($D$14:$D$23,$C$14:$C$23,B398))</x:f>
      </x:c>
      <x:c r="D398" s="37" t="str">
        <x:f>IF(B398="","",SUMIFS($E$14:$E$23,$C$14:$C$23,B398))</x:f>
      </x:c>
      <x:c r="E398" s="37" t="str">
        <x:f>IF(B398="","",C398-D398)</x:f>
      </x:c>
      <x:c r="F398" s="37" t="str">
        <x:f>IF(B398="","",F397+E398)</x:f>
      </x:c>
      <x:c r="G398" s="37" t="str">
        <x:f>IF(OR(B398="",$I$6&lt;&gt;"Complete"),"",SUMIFS($D$32:$D$51,$C$32:$C$51,B398,$I$32:$I$51,"Ready"))</x:f>
      </x:c>
      <x:c r="H398" s="37" t="str">
        <x:f>IF(OR(B398="",$I$6&lt;&gt;"Complete"),"",SUMIFS($E$32:$E$51,$C$32:$C$51,B398,$I$32:$I$51,"Ready"))</x:f>
      </x:c>
      <x:c r="I398" s="37" t="str">
        <x:f>IF(OR(B398="",$I$6&lt;&gt;"Complete"),"",I397+E398+G398-H398)</x:f>
      </x:c>
      <x:c r="J398" s="37" t="str">
        <x:f>IF(OR(B398="",$I$6&lt;&gt;"Complete"),"",'Inputs'!$C$49)</x:f>
      </x:c>
      <x:c r="K398" s="37" t="str">
        <x:f>IF(OR(B398="",$I$6&lt;&gt;"Complete"),"",I398-J398)</x:f>
      </x:c>
      <x:c r="L398" s="61" t="str">
        <x:f>IF(OR(B398="",$I$6&lt;&gt;"Complete"),"",IF(K398&lt;0,1,0))</x:f>
      </x:c>
    </x:row>
    <x:row r="399" ht="23" customHeight="1">
      <x:c r="A399" s="2"/>
      <x:c r="B399" s="60" t="str">
        <x:f>IF($D$6&lt;&gt;"Complete","",IF('Inputs'!$C$47+329&lt;=$D$9,'Inputs'!$C$47+329,""))</x:f>
      </x:c>
      <x:c r="C399" s="37" t="str">
        <x:f>IF(B399="","",SUMIFS($D$14:$D$23,$C$14:$C$23,B399))</x:f>
      </x:c>
      <x:c r="D399" s="37" t="str">
        <x:f>IF(B399="","",SUMIFS($E$14:$E$23,$C$14:$C$23,B399))</x:f>
      </x:c>
      <x:c r="E399" s="37" t="str">
        <x:f>IF(B399="","",C399-D399)</x:f>
      </x:c>
      <x:c r="F399" s="37" t="str">
        <x:f>IF(B399="","",F398+E399)</x:f>
      </x:c>
      <x:c r="G399" s="37" t="str">
        <x:f>IF(OR(B399="",$I$6&lt;&gt;"Complete"),"",SUMIFS($D$32:$D$51,$C$32:$C$51,B399,$I$32:$I$51,"Ready"))</x:f>
      </x:c>
      <x:c r="H399" s="37" t="str">
        <x:f>IF(OR(B399="",$I$6&lt;&gt;"Complete"),"",SUMIFS($E$32:$E$51,$C$32:$C$51,B399,$I$32:$I$51,"Ready"))</x:f>
      </x:c>
      <x:c r="I399" s="37" t="str">
        <x:f>IF(OR(B399="",$I$6&lt;&gt;"Complete"),"",I398+E399+G399-H399)</x:f>
      </x:c>
      <x:c r="J399" s="37" t="str">
        <x:f>IF(OR(B399="",$I$6&lt;&gt;"Complete"),"",'Inputs'!$C$49)</x:f>
      </x:c>
      <x:c r="K399" s="37" t="str">
        <x:f>IF(OR(B399="",$I$6&lt;&gt;"Complete"),"",I399-J399)</x:f>
      </x:c>
      <x:c r="L399" s="61" t="str">
        <x:f>IF(OR(B399="",$I$6&lt;&gt;"Complete"),"",IF(K399&lt;0,1,0))</x:f>
      </x:c>
    </x:row>
    <x:row r="400" ht="23" customHeight="1">
      <x:c r="A400" s="2"/>
      <x:c r="B400" s="60" t="str">
        <x:f>IF($D$6&lt;&gt;"Complete","",IF('Inputs'!$C$47+330&lt;=$D$9,'Inputs'!$C$47+330,""))</x:f>
      </x:c>
      <x:c r="C400" s="37" t="str">
        <x:f>IF(B400="","",SUMIFS($D$14:$D$23,$C$14:$C$23,B400))</x:f>
      </x:c>
      <x:c r="D400" s="37" t="str">
        <x:f>IF(B400="","",SUMIFS($E$14:$E$23,$C$14:$C$23,B400))</x:f>
      </x:c>
      <x:c r="E400" s="37" t="str">
        <x:f>IF(B400="","",C400-D400)</x:f>
      </x:c>
      <x:c r="F400" s="37" t="str">
        <x:f>IF(B400="","",F399+E400)</x:f>
      </x:c>
      <x:c r="G400" s="37" t="str">
        <x:f>IF(OR(B400="",$I$6&lt;&gt;"Complete"),"",SUMIFS($D$32:$D$51,$C$32:$C$51,B400,$I$32:$I$51,"Ready"))</x:f>
      </x:c>
      <x:c r="H400" s="37" t="str">
        <x:f>IF(OR(B400="",$I$6&lt;&gt;"Complete"),"",SUMIFS($E$32:$E$51,$C$32:$C$51,B400,$I$32:$I$51,"Ready"))</x:f>
      </x:c>
      <x:c r="I400" s="37" t="str">
        <x:f>IF(OR(B400="",$I$6&lt;&gt;"Complete"),"",I399+E400+G400-H400)</x:f>
      </x:c>
      <x:c r="J400" s="37" t="str">
        <x:f>IF(OR(B400="",$I$6&lt;&gt;"Complete"),"",'Inputs'!$C$49)</x:f>
      </x:c>
      <x:c r="K400" s="37" t="str">
        <x:f>IF(OR(B400="",$I$6&lt;&gt;"Complete"),"",I400-J400)</x:f>
      </x:c>
      <x:c r="L400" s="61" t="str">
        <x:f>IF(OR(B400="",$I$6&lt;&gt;"Complete"),"",IF(K400&lt;0,1,0))</x:f>
      </x:c>
    </x:row>
    <x:row r="401" ht="23" customHeight="1">
      <x:c r="A401" s="2"/>
      <x:c r="B401" s="60" t="str">
        <x:f>IF($D$6&lt;&gt;"Complete","",IF('Inputs'!$C$47+331&lt;=$D$9,'Inputs'!$C$47+331,""))</x:f>
      </x:c>
      <x:c r="C401" s="37" t="str">
        <x:f>IF(B401="","",SUMIFS($D$14:$D$23,$C$14:$C$23,B401))</x:f>
      </x:c>
      <x:c r="D401" s="37" t="str">
        <x:f>IF(B401="","",SUMIFS($E$14:$E$23,$C$14:$C$23,B401))</x:f>
      </x:c>
      <x:c r="E401" s="37" t="str">
        <x:f>IF(B401="","",C401-D401)</x:f>
      </x:c>
      <x:c r="F401" s="37" t="str">
        <x:f>IF(B401="","",F400+E401)</x:f>
      </x:c>
      <x:c r="G401" s="37" t="str">
        <x:f>IF(OR(B401="",$I$6&lt;&gt;"Complete"),"",SUMIFS($D$32:$D$51,$C$32:$C$51,B401,$I$32:$I$51,"Ready"))</x:f>
      </x:c>
      <x:c r="H401" s="37" t="str">
        <x:f>IF(OR(B401="",$I$6&lt;&gt;"Complete"),"",SUMIFS($E$32:$E$51,$C$32:$C$51,B401,$I$32:$I$51,"Ready"))</x:f>
      </x:c>
      <x:c r="I401" s="37" t="str">
        <x:f>IF(OR(B401="",$I$6&lt;&gt;"Complete"),"",I400+E401+G401-H401)</x:f>
      </x:c>
      <x:c r="J401" s="37" t="str">
        <x:f>IF(OR(B401="",$I$6&lt;&gt;"Complete"),"",'Inputs'!$C$49)</x:f>
      </x:c>
      <x:c r="K401" s="37" t="str">
        <x:f>IF(OR(B401="",$I$6&lt;&gt;"Complete"),"",I401-J401)</x:f>
      </x:c>
      <x:c r="L401" s="61" t="str">
        <x:f>IF(OR(B401="",$I$6&lt;&gt;"Complete"),"",IF(K401&lt;0,1,0))</x:f>
      </x:c>
    </x:row>
    <x:row r="402" ht="23" customHeight="1">
      <x:c r="A402" s="2"/>
      <x:c r="B402" s="60" t="str">
        <x:f>IF($D$6&lt;&gt;"Complete","",IF('Inputs'!$C$47+332&lt;=$D$9,'Inputs'!$C$47+332,""))</x:f>
      </x:c>
      <x:c r="C402" s="37" t="str">
        <x:f>IF(B402="","",SUMIFS($D$14:$D$23,$C$14:$C$23,B402))</x:f>
      </x:c>
      <x:c r="D402" s="37" t="str">
        <x:f>IF(B402="","",SUMIFS($E$14:$E$23,$C$14:$C$23,B402))</x:f>
      </x:c>
      <x:c r="E402" s="37" t="str">
        <x:f>IF(B402="","",C402-D402)</x:f>
      </x:c>
      <x:c r="F402" s="37" t="str">
        <x:f>IF(B402="","",F401+E402)</x:f>
      </x:c>
      <x:c r="G402" s="37" t="str">
        <x:f>IF(OR(B402="",$I$6&lt;&gt;"Complete"),"",SUMIFS($D$32:$D$51,$C$32:$C$51,B402,$I$32:$I$51,"Ready"))</x:f>
      </x:c>
      <x:c r="H402" s="37" t="str">
        <x:f>IF(OR(B402="",$I$6&lt;&gt;"Complete"),"",SUMIFS($E$32:$E$51,$C$32:$C$51,B402,$I$32:$I$51,"Ready"))</x:f>
      </x:c>
      <x:c r="I402" s="37" t="str">
        <x:f>IF(OR(B402="",$I$6&lt;&gt;"Complete"),"",I401+E402+G402-H402)</x:f>
      </x:c>
      <x:c r="J402" s="37" t="str">
        <x:f>IF(OR(B402="",$I$6&lt;&gt;"Complete"),"",'Inputs'!$C$49)</x:f>
      </x:c>
      <x:c r="K402" s="37" t="str">
        <x:f>IF(OR(B402="",$I$6&lt;&gt;"Complete"),"",I402-J402)</x:f>
      </x:c>
      <x:c r="L402" s="61" t="str">
        <x:f>IF(OR(B402="",$I$6&lt;&gt;"Complete"),"",IF(K402&lt;0,1,0))</x:f>
      </x:c>
    </x:row>
    <x:row r="403" ht="23" customHeight="1">
      <x:c r="A403" s="2"/>
      <x:c r="B403" s="60" t="str">
        <x:f>IF($D$6&lt;&gt;"Complete","",IF('Inputs'!$C$47+333&lt;=$D$9,'Inputs'!$C$47+333,""))</x:f>
      </x:c>
      <x:c r="C403" s="37" t="str">
        <x:f>IF(B403="","",SUMIFS($D$14:$D$23,$C$14:$C$23,B403))</x:f>
      </x:c>
      <x:c r="D403" s="37" t="str">
        <x:f>IF(B403="","",SUMIFS($E$14:$E$23,$C$14:$C$23,B403))</x:f>
      </x:c>
      <x:c r="E403" s="37" t="str">
        <x:f>IF(B403="","",C403-D403)</x:f>
      </x:c>
      <x:c r="F403" s="37" t="str">
        <x:f>IF(B403="","",F402+E403)</x:f>
      </x:c>
      <x:c r="G403" s="37" t="str">
        <x:f>IF(OR(B403="",$I$6&lt;&gt;"Complete"),"",SUMIFS($D$32:$D$51,$C$32:$C$51,B403,$I$32:$I$51,"Ready"))</x:f>
      </x:c>
      <x:c r="H403" s="37" t="str">
        <x:f>IF(OR(B403="",$I$6&lt;&gt;"Complete"),"",SUMIFS($E$32:$E$51,$C$32:$C$51,B403,$I$32:$I$51,"Ready"))</x:f>
      </x:c>
      <x:c r="I403" s="37" t="str">
        <x:f>IF(OR(B403="",$I$6&lt;&gt;"Complete"),"",I402+E403+G403-H403)</x:f>
      </x:c>
      <x:c r="J403" s="37" t="str">
        <x:f>IF(OR(B403="",$I$6&lt;&gt;"Complete"),"",'Inputs'!$C$49)</x:f>
      </x:c>
      <x:c r="K403" s="37" t="str">
        <x:f>IF(OR(B403="",$I$6&lt;&gt;"Complete"),"",I403-J403)</x:f>
      </x:c>
      <x:c r="L403" s="61" t="str">
        <x:f>IF(OR(B403="",$I$6&lt;&gt;"Complete"),"",IF(K403&lt;0,1,0))</x:f>
      </x:c>
    </x:row>
    <x:row r="404" ht="23" customHeight="1">
      <x:c r="A404" s="2"/>
      <x:c r="B404" s="60" t="str">
        <x:f>IF($D$6&lt;&gt;"Complete","",IF('Inputs'!$C$47+334&lt;=$D$9,'Inputs'!$C$47+334,""))</x:f>
      </x:c>
      <x:c r="C404" s="37" t="str">
        <x:f>IF(B404="","",SUMIFS($D$14:$D$23,$C$14:$C$23,B404))</x:f>
      </x:c>
      <x:c r="D404" s="37" t="str">
        <x:f>IF(B404="","",SUMIFS($E$14:$E$23,$C$14:$C$23,B404))</x:f>
      </x:c>
      <x:c r="E404" s="37" t="str">
        <x:f>IF(B404="","",C404-D404)</x:f>
      </x:c>
      <x:c r="F404" s="37" t="str">
        <x:f>IF(B404="","",F403+E404)</x:f>
      </x:c>
      <x:c r="G404" s="37" t="str">
        <x:f>IF(OR(B404="",$I$6&lt;&gt;"Complete"),"",SUMIFS($D$32:$D$51,$C$32:$C$51,B404,$I$32:$I$51,"Ready"))</x:f>
      </x:c>
      <x:c r="H404" s="37" t="str">
        <x:f>IF(OR(B404="",$I$6&lt;&gt;"Complete"),"",SUMIFS($E$32:$E$51,$C$32:$C$51,B404,$I$32:$I$51,"Ready"))</x:f>
      </x:c>
      <x:c r="I404" s="37" t="str">
        <x:f>IF(OR(B404="",$I$6&lt;&gt;"Complete"),"",I403+E404+G404-H404)</x:f>
      </x:c>
      <x:c r="J404" s="37" t="str">
        <x:f>IF(OR(B404="",$I$6&lt;&gt;"Complete"),"",'Inputs'!$C$49)</x:f>
      </x:c>
      <x:c r="K404" s="37" t="str">
        <x:f>IF(OR(B404="",$I$6&lt;&gt;"Complete"),"",I404-J404)</x:f>
      </x:c>
      <x:c r="L404" s="61" t="str">
        <x:f>IF(OR(B404="",$I$6&lt;&gt;"Complete"),"",IF(K404&lt;0,1,0))</x:f>
      </x:c>
    </x:row>
    <x:row r="405" ht="23" customHeight="1">
      <x:c r="A405" s="2"/>
      <x:c r="B405" s="60" t="str">
        <x:f>IF($D$6&lt;&gt;"Complete","",IF('Inputs'!$C$47+335&lt;=$D$9,'Inputs'!$C$47+335,""))</x:f>
      </x:c>
      <x:c r="C405" s="37" t="str">
        <x:f>IF(B405="","",SUMIFS($D$14:$D$23,$C$14:$C$23,B405))</x:f>
      </x:c>
      <x:c r="D405" s="37" t="str">
        <x:f>IF(B405="","",SUMIFS($E$14:$E$23,$C$14:$C$23,B405))</x:f>
      </x:c>
      <x:c r="E405" s="37" t="str">
        <x:f>IF(B405="","",C405-D405)</x:f>
      </x:c>
      <x:c r="F405" s="37" t="str">
        <x:f>IF(B405="","",F404+E405)</x:f>
      </x:c>
      <x:c r="G405" s="37" t="str">
        <x:f>IF(OR(B405="",$I$6&lt;&gt;"Complete"),"",SUMIFS($D$32:$D$51,$C$32:$C$51,B405,$I$32:$I$51,"Ready"))</x:f>
      </x:c>
      <x:c r="H405" s="37" t="str">
        <x:f>IF(OR(B405="",$I$6&lt;&gt;"Complete"),"",SUMIFS($E$32:$E$51,$C$32:$C$51,B405,$I$32:$I$51,"Ready"))</x:f>
      </x:c>
      <x:c r="I405" s="37" t="str">
        <x:f>IF(OR(B405="",$I$6&lt;&gt;"Complete"),"",I404+E405+G405-H405)</x:f>
      </x:c>
      <x:c r="J405" s="37" t="str">
        <x:f>IF(OR(B405="",$I$6&lt;&gt;"Complete"),"",'Inputs'!$C$49)</x:f>
      </x:c>
      <x:c r="K405" s="37" t="str">
        <x:f>IF(OR(B405="",$I$6&lt;&gt;"Complete"),"",I405-J405)</x:f>
      </x:c>
      <x:c r="L405" s="61" t="str">
        <x:f>IF(OR(B405="",$I$6&lt;&gt;"Complete"),"",IF(K405&lt;0,1,0))</x:f>
      </x:c>
    </x:row>
    <x:row r="406" ht="23" customHeight="1">
      <x:c r="A406" s="2"/>
      <x:c r="B406" s="60" t="str">
        <x:f>IF($D$6&lt;&gt;"Complete","",IF('Inputs'!$C$47+336&lt;=$D$9,'Inputs'!$C$47+336,""))</x:f>
      </x:c>
      <x:c r="C406" s="37" t="str">
        <x:f>IF(B406="","",SUMIFS($D$14:$D$23,$C$14:$C$23,B406))</x:f>
      </x:c>
      <x:c r="D406" s="37" t="str">
        <x:f>IF(B406="","",SUMIFS($E$14:$E$23,$C$14:$C$23,B406))</x:f>
      </x:c>
      <x:c r="E406" s="37" t="str">
        <x:f>IF(B406="","",C406-D406)</x:f>
      </x:c>
      <x:c r="F406" s="37" t="str">
        <x:f>IF(B406="","",F405+E406)</x:f>
      </x:c>
      <x:c r="G406" s="37" t="str">
        <x:f>IF(OR(B406="",$I$6&lt;&gt;"Complete"),"",SUMIFS($D$32:$D$51,$C$32:$C$51,B406,$I$32:$I$51,"Ready"))</x:f>
      </x:c>
      <x:c r="H406" s="37" t="str">
        <x:f>IF(OR(B406="",$I$6&lt;&gt;"Complete"),"",SUMIFS($E$32:$E$51,$C$32:$C$51,B406,$I$32:$I$51,"Ready"))</x:f>
      </x:c>
      <x:c r="I406" s="37" t="str">
        <x:f>IF(OR(B406="",$I$6&lt;&gt;"Complete"),"",I405+E406+G406-H406)</x:f>
      </x:c>
      <x:c r="J406" s="37" t="str">
        <x:f>IF(OR(B406="",$I$6&lt;&gt;"Complete"),"",'Inputs'!$C$49)</x:f>
      </x:c>
      <x:c r="K406" s="37" t="str">
        <x:f>IF(OR(B406="",$I$6&lt;&gt;"Complete"),"",I406-J406)</x:f>
      </x:c>
      <x:c r="L406" s="61" t="str">
        <x:f>IF(OR(B406="",$I$6&lt;&gt;"Complete"),"",IF(K406&lt;0,1,0))</x:f>
      </x:c>
    </x:row>
    <x:row r="407" ht="23" customHeight="1">
      <x:c r="A407" s="2"/>
      <x:c r="B407" s="60" t="str">
        <x:f>IF($D$6&lt;&gt;"Complete","",IF('Inputs'!$C$47+337&lt;=$D$9,'Inputs'!$C$47+337,""))</x:f>
      </x:c>
      <x:c r="C407" s="37" t="str">
        <x:f>IF(B407="","",SUMIFS($D$14:$D$23,$C$14:$C$23,B407))</x:f>
      </x:c>
      <x:c r="D407" s="37" t="str">
        <x:f>IF(B407="","",SUMIFS($E$14:$E$23,$C$14:$C$23,B407))</x:f>
      </x:c>
      <x:c r="E407" s="37" t="str">
        <x:f>IF(B407="","",C407-D407)</x:f>
      </x:c>
      <x:c r="F407" s="37" t="str">
        <x:f>IF(B407="","",F406+E407)</x:f>
      </x:c>
      <x:c r="G407" s="37" t="str">
        <x:f>IF(OR(B407="",$I$6&lt;&gt;"Complete"),"",SUMIFS($D$32:$D$51,$C$32:$C$51,B407,$I$32:$I$51,"Ready"))</x:f>
      </x:c>
      <x:c r="H407" s="37" t="str">
        <x:f>IF(OR(B407="",$I$6&lt;&gt;"Complete"),"",SUMIFS($E$32:$E$51,$C$32:$C$51,B407,$I$32:$I$51,"Ready"))</x:f>
      </x:c>
      <x:c r="I407" s="37" t="str">
        <x:f>IF(OR(B407="",$I$6&lt;&gt;"Complete"),"",I406+E407+G407-H407)</x:f>
      </x:c>
      <x:c r="J407" s="37" t="str">
        <x:f>IF(OR(B407="",$I$6&lt;&gt;"Complete"),"",'Inputs'!$C$49)</x:f>
      </x:c>
      <x:c r="K407" s="37" t="str">
        <x:f>IF(OR(B407="",$I$6&lt;&gt;"Complete"),"",I407-J407)</x:f>
      </x:c>
      <x:c r="L407" s="61" t="str">
        <x:f>IF(OR(B407="",$I$6&lt;&gt;"Complete"),"",IF(K407&lt;0,1,0))</x:f>
      </x:c>
    </x:row>
    <x:row r="408" ht="23" customHeight="1">
      <x:c r="A408" s="2"/>
      <x:c r="B408" s="60" t="str">
        <x:f>IF($D$6&lt;&gt;"Complete","",IF('Inputs'!$C$47+338&lt;=$D$9,'Inputs'!$C$47+338,""))</x:f>
      </x:c>
      <x:c r="C408" s="37" t="str">
        <x:f>IF(B408="","",SUMIFS($D$14:$D$23,$C$14:$C$23,B408))</x:f>
      </x:c>
      <x:c r="D408" s="37" t="str">
        <x:f>IF(B408="","",SUMIFS($E$14:$E$23,$C$14:$C$23,B408))</x:f>
      </x:c>
      <x:c r="E408" s="37" t="str">
        <x:f>IF(B408="","",C408-D408)</x:f>
      </x:c>
      <x:c r="F408" s="37" t="str">
        <x:f>IF(B408="","",F407+E408)</x:f>
      </x:c>
      <x:c r="G408" s="37" t="str">
        <x:f>IF(OR(B408="",$I$6&lt;&gt;"Complete"),"",SUMIFS($D$32:$D$51,$C$32:$C$51,B408,$I$32:$I$51,"Ready"))</x:f>
      </x:c>
      <x:c r="H408" s="37" t="str">
        <x:f>IF(OR(B408="",$I$6&lt;&gt;"Complete"),"",SUMIFS($E$32:$E$51,$C$32:$C$51,B408,$I$32:$I$51,"Ready"))</x:f>
      </x:c>
      <x:c r="I408" s="37" t="str">
        <x:f>IF(OR(B408="",$I$6&lt;&gt;"Complete"),"",I407+E408+G408-H408)</x:f>
      </x:c>
      <x:c r="J408" s="37" t="str">
        <x:f>IF(OR(B408="",$I$6&lt;&gt;"Complete"),"",'Inputs'!$C$49)</x:f>
      </x:c>
      <x:c r="K408" s="37" t="str">
        <x:f>IF(OR(B408="",$I$6&lt;&gt;"Complete"),"",I408-J408)</x:f>
      </x:c>
      <x:c r="L408" s="61" t="str">
        <x:f>IF(OR(B408="",$I$6&lt;&gt;"Complete"),"",IF(K408&lt;0,1,0))</x:f>
      </x:c>
    </x:row>
    <x:row r="409" ht="23" customHeight="1">
      <x:c r="A409" s="2"/>
      <x:c r="B409" s="60" t="str">
        <x:f>IF($D$6&lt;&gt;"Complete","",IF('Inputs'!$C$47+339&lt;=$D$9,'Inputs'!$C$47+339,""))</x:f>
      </x:c>
      <x:c r="C409" s="37" t="str">
        <x:f>IF(B409="","",SUMIFS($D$14:$D$23,$C$14:$C$23,B409))</x:f>
      </x:c>
      <x:c r="D409" s="37" t="str">
        <x:f>IF(B409="","",SUMIFS($E$14:$E$23,$C$14:$C$23,B409))</x:f>
      </x:c>
      <x:c r="E409" s="37" t="str">
        <x:f>IF(B409="","",C409-D409)</x:f>
      </x:c>
      <x:c r="F409" s="37" t="str">
        <x:f>IF(B409="","",F408+E409)</x:f>
      </x:c>
      <x:c r="G409" s="37" t="str">
        <x:f>IF(OR(B409="",$I$6&lt;&gt;"Complete"),"",SUMIFS($D$32:$D$51,$C$32:$C$51,B409,$I$32:$I$51,"Ready"))</x:f>
      </x:c>
      <x:c r="H409" s="37" t="str">
        <x:f>IF(OR(B409="",$I$6&lt;&gt;"Complete"),"",SUMIFS($E$32:$E$51,$C$32:$C$51,B409,$I$32:$I$51,"Ready"))</x:f>
      </x:c>
      <x:c r="I409" s="37" t="str">
        <x:f>IF(OR(B409="",$I$6&lt;&gt;"Complete"),"",I408+E409+G409-H409)</x:f>
      </x:c>
      <x:c r="J409" s="37" t="str">
        <x:f>IF(OR(B409="",$I$6&lt;&gt;"Complete"),"",'Inputs'!$C$49)</x:f>
      </x:c>
      <x:c r="K409" s="37" t="str">
        <x:f>IF(OR(B409="",$I$6&lt;&gt;"Complete"),"",I409-J409)</x:f>
      </x:c>
      <x:c r="L409" s="61" t="str">
        <x:f>IF(OR(B409="",$I$6&lt;&gt;"Complete"),"",IF(K409&lt;0,1,0))</x:f>
      </x:c>
    </x:row>
    <x:row r="410" ht="23" customHeight="1">
      <x:c r="A410" s="2"/>
      <x:c r="B410" s="60" t="str">
        <x:f>IF($D$6&lt;&gt;"Complete","",IF('Inputs'!$C$47+340&lt;=$D$9,'Inputs'!$C$47+340,""))</x:f>
      </x:c>
      <x:c r="C410" s="37" t="str">
        <x:f>IF(B410="","",SUMIFS($D$14:$D$23,$C$14:$C$23,B410))</x:f>
      </x:c>
      <x:c r="D410" s="37" t="str">
        <x:f>IF(B410="","",SUMIFS($E$14:$E$23,$C$14:$C$23,B410))</x:f>
      </x:c>
      <x:c r="E410" s="37" t="str">
        <x:f>IF(B410="","",C410-D410)</x:f>
      </x:c>
      <x:c r="F410" s="37" t="str">
        <x:f>IF(B410="","",F409+E410)</x:f>
      </x:c>
      <x:c r="G410" s="37" t="str">
        <x:f>IF(OR(B410="",$I$6&lt;&gt;"Complete"),"",SUMIFS($D$32:$D$51,$C$32:$C$51,B410,$I$32:$I$51,"Ready"))</x:f>
      </x:c>
      <x:c r="H410" s="37" t="str">
        <x:f>IF(OR(B410="",$I$6&lt;&gt;"Complete"),"",SUMIFS($E$32:$E$51,$C$32:$C$51,B410,$I$32:$I$51,"Ready"))</x:f>
      </x:c>
      <x:c r="I410" s="37" t="str">
        <x:f>IF(OR(B410="",$I$6&lt;&gt;"Complete"),"",I409+E410+G410-H410)</x:f>
      </x:c>
      <x:c r="J410" s="37" t="str">
        <x:f>IF(OR(B410="",$I$6&lt;&gt;"Complete"),"",'Inputs'!$C$49)</x:f>
      </x:c>
      <x:c r="K410" s="37" t="str">
        <x:f>IF(OR(B410="",$I$6&lt;&gt;"Complete"),"",I410-J410)</x:f>
      </x:c>
      <x:c r="L410" s="61" t="str">
        <x:f>IF(OR(B410="",$I$6&lt;&gt;"Complete"),"",IF(K410&lt;0,1,0))</x:f>
      </x:c>
    </x:row>
    <x:row r="411" ht="23" customHeight="1">
      <x:c r="A411" s="2"/>
      <x:c r="B411" s="60" t="str">
        <x:f>IF($D$6&lt;&gt;"Complete","",IF('Inputs'!$C$47+341&lt;=$D$9,'Inputs'!$C$47+341,""))</x:f>
      </x:c>
      <x:c r="C411" s="37" t="str">
        <x:f>IF(B411="","",SUMIFS($D$14:$D$23,$C$14:$C$23,B411))</x:f>
      </x:c>
      <x:c r="D411" s="37" t="str">
        <x:f>IF(B411="","",SUMIFS($E$14:$E$23,$C$14:$C$23,B411))</x:f>
      </x:c>
      <x:c r="E411" s="37" t="str">
        <x:f>IF(B411="","",C411-D411)</x:f>
      </x:c>
      <x:c r="F411" s="37" t="str">
        <x:f>IF(B411="","",F410+E411)</x:f>
      </x:c>
      <x:c r="G411" s="37" t="str">
        <x:f>IF(OR(B411="",$I$6&lt;&gt;"Complete"),"",SUMIFS($D$32:$D$51,$C$32:$C$51,B411,$I$32:$I$51,"Ready"))</x:f>
      </x:c>
      <x:c r="H411" s="37" t="str">
        <x:f>IF(OR(B411="",$I$6&lt;&gt;"Complete"),"",SUMIFS($E$32:$E$51,$C$32:$C$51,B411,$I$32:$I$51,"Ready"))</x:f>
      </x:c>
      <x:c r="I411" s="37" t="str">
        <x:f>IF(OR(B411="",$I$6&lt;&gt;"Complete"),"",I410+E411+G411-H411)</x:f>
      </x:c>
      <x:c r="J411" s="37" t="str">
        <x:f>IF(OR(B411="",$I$6&lt;&gt;"Complete"),"",'Inputs'!$C$49)</x:f>
      </x:c>
      <x:c r="K411" s="37" t="str">
        <x:f>IF(OR(B411="",$I$6&lt;&gt;"Complete"),"",I411-J411)</x:f>
      </x:c>
      <x:c r="L411" s="61" t="str">
        <x:f>IF(OR(B411="",$I$6&lt;&gt;"Complete"),"",IF(K411&lt;0,1,0))</x:f>
      </x:c>
    </x:row>
    <x:row r="412" ht="23" customHeight="1">
      <x:c r="A412" s="2"/>
      <x:c r="B412" s="60" t="str">
        <x:f>IF($D$6&lt;&gt;"Complete","",IF('Inputs'!$C$47+342&lt;=$D$9,'Inputs'!$C$47+342,""))</x:f>
      </x:c>
      <x:c r="C412" s="37" t="str">
        <x:f>IF(B412="","",SUMIFS($D$14:$D$23,$C$14:$C$23,B412))</x:f>
      </x:c>
      <x:c r="D412" s="37" t="str">
        <x:f>IF(B412="","",SUMIFS($E$14:$E$23,$C$14:$C$23,B412))</x:f>
      </x:c>
      <x:c r="E412" s="37" t="str">
        <x:f>IF(B412="","",C412-D412)</x:f>
      </x:c>
      <x:c r="F412" s="37" t="str">
        <x:f>IF(B412="","",F411+E412)</x:f>
      </x:c>
      <x:c r="G412" s="37" t="str">
        <x:f>IF(OR(B412="",$I$6&lt;&gt;"Complete"),"",SUMIFS($D$32:$D$51,$C$32:$C$51,B412,$I$32:$I$51,"Ready"))</x:f>
      </x:c>
      <x:c r="H412" s="37" t="str">
        <x:f>IF(OR(B412="",$I$6&lt;&gt;"Complete"),"",SUMIFS($E$32:$E$51,$C$32:$C$51,B412,$I$32:$I$51,"Ready"))</x:f>
      </x:c>
      <x:c r="I412" s="37" t="str">
        <x:f>IF(OR(B412="",$I$6&lt;&gt;"Complete"),"",I411+E412+G412-H412)</x:f>
      </x:c>
      <x:c r="J412" s="37" t="str">
        <x:f>IF(OR(B412="",$I$6&lt;&gt;"Complete"),"",'Inputs'!$C$49)</x:f>
      </x:c>
      <x:c r="K412" s="37" t="str">
        <x:f>IF(OR(B412="",$I$6&lt;&gt;"Complete"),"",I412-J412)</x:f>
      </x:c>
      <x:c r="L412" s="61" t="str">
        <x:f>IF(OR(B412="",$I$6&lt;&gt;"Complete"),"",IF(K412&lt;0,1,0))</x:f>
      </x:c>
    </x:row>
    <x:row r="413" ht="23" customHeight="1">
      <x:c r="A413" s="2"/>
      <x:c r="B413" s="60" t="str">
        <x:f>IF($D$6&lt;&gt;"Complete","",IF('Inputs'!$C$47+343&lt;=$D$9,'Inputs'!$C$47+343,""))</x:f>
      </x:c>
      <x:c r="C413" s="37" t="str">
        <x:f>IF(B413="","",SUMIFS($D$14:$D$23,$C$14:$C$23,B413))</x:f>
      </x:c>
      <x:c r="D413" s="37" t="str">
        <x:f>IF(B413="","",SUMIFS($E$14:$E$23,$C$14:$C$23,B413))</x:f>
      </x:c>
      <x:c r="E413" s="37" t="str">
        <x:f>IF(B413="","",C413-D413)</x:f>
      </x:c>
      <x:c r="F413" s="37" t="str">
        <x:f>IF(B413="","",F412+E413)</x:f>
      </x:c>
      <x:c r="G413" s="37" t="str">
        <x:f>IF(OR(B413="",$I$6&lt;&gt;"Complete"),"",SUMIFS($D$32:$D$51,$C$32:$C$51,B413,$I$32:$I$51,"Ready"))</x:f>
      </x:c>
      <x:c r="H413" s="37" t="str">
        <x:f>IF(OR(B413="",$I$6&lt;&gt;"Complete"),"",SUMIFS($E$32:$E$51,$C$32:$C$51,B413,$I$32:$I$51,"Ready"))</x:f>
      </x:c>
      <x:c r="I413" s="37" t="str">
        <x:f>IF(OR(B413="",$I$6&lt;&gt;"Complete"),"",I412+E413+G413-H413)</x:f>
      </x:c>
      <x:c r="J413" s="37" t="str">
        <x:f>IF(OR(B413="",$I$6&lt;&gt;"Complete"),"",'Inputs'!$C$49)</x:f>
      </x:c>
      <x:c r="K413" s="37" t="str">
        <x:f>IF(OR(B413="",$I$6&lt;&gt;"Complete"),"",I413-J413)</x:f>
      </x:c>
      <x:c r="L413" s="61" t="str">
        <x:f>IF(OR(B413="",$I$6&lt;&gt;"Complete"),"",IF(K413&lt;0,1,0))</x:f>
      </x:c>
    </x:row>
    <x:row r="414" ht="23" customHeight="1">
      <x:c r="A414" s="2"/>
      <x:c r="B414" s="60" t="str">
        <x:f>IF($D$6&lt;&gt;"Complete","",IF('Inputs'!$C$47+344&lt;=$D$9,'Inputs'!$C$47+344,""))</x:f>
      </x:c>
      <x:c r="C414" s="37" t="str">
        <x:f>IF(B414="","",SUMIFS($D$14:$D$23,$C$14:$C$23,B414))</x:f>
      </x:c>
      <x:c r="D414" s="37" t="str">
        <x:f>IF(B414="","",SUMIFS($E$14:$E$23,$C$14:$C$23,B414))</x:f>
      </x:c>
      <x:c r="E414" s="37" t="str">
        <x:f>IF(B414="","",C414-D414)</x:f>
      </x:c>
      <x:c r="F414" s="37" t="str">
        <x:f>IF(B414="","",F413+E414)</x:f>
      </x:c>
      <x:c r="G414" s="37" t="str">
        <x:f>IF(OR(B414="",$I$6&lt;&gt;"Complete"),"",SUMIFS($D$32:$D$51,$C$32:$C$51,B414,$I$32:$I$51,"Ready"))</x:f>
      </x:c>
      <x:c r="H414" s="37" t="str">
        <x:f>IF(OR(B414="",$I$6&lt;&gt;"Complete"),"",SUMIFS($E$32:$E$51,$C$32:$C$51,B414,$I$32:$I$51,"Ready"))</x:f>
      </x:c>
      <x:c r="I414" s="37" t="str">
        <x:f>IF(OR(B414="",$I$6&lt;&gt;"Complete"),"",I413+E414+G414-H414)</x:f>
      </x:c>
      <x:c r="J414" s="37" t="str">
        <x:f>IF(OR(B414="",$I$6&lt;&gt;"Complete"),"",'Inputs'!$C$49)</x:f>
      </x:c>
      <x:c r="K414" s="37" t="str">
        <x:f>IF(OR(B414="",$I$6&lt;&gt;"Complete"),"",I414-J414)</x:f>
      </x:c>
      <x:c r="L414" s="61" t="str">
        <x:f>IF(OR(B414="",$I$6&lt;&gt;"Complete"),"",IF(K414&lt;0,1,0))</x:f>
      </x:c>
    </x:row>
    <x:row r="415" ht="23" customHeight="1">
      <x:c r="A415" s="2"/>
      <x:c r="B415" s="60" t="str">
        <x:f>IF($D$6&lt;&gt;"Complete","",IF('Inputs'!$C$47+345&lt;=$D$9,'Inputs'!$C$47+345,""))</x:f>
      </x:c>
      <x:c r="C415" s="37" t="str">
        <x:f>IF(B415="","",SUMIFS($D$14:$D$23,$C$14:$C$23,B415))</x:f>
      </x:c>
      <x:c r="D415" s="37" t="str">
        <x:f>IF(B415="","",SUMIFS($E$14:$E$23,$C$14:$C$23,B415))</x:f>
      </x:c>
      <x:c r="E415" s="37" t="str">
        <x:f>IF(B415="","",C415-D415)</x:f>
      </x:c>
      <x:c r="F415" s="37" t="str">
        <x:f>IF(B415="","",F414+E415)</x:f>
      </x:c>
      <x:c r="G415" s="37" t="str">
        <x:f>IF(OR(B415="",$I$6&lt;&gt;"Complete"),"",SUMIFS($D$32:$D$51,$C$32:$C$51,B415,$I$32:$I$51,"Ready"))</x:f>
      </x:c>
      <x:c r="H415" s="37" t="str">
        <x:f>IF(OR(B415="",$I$6&lt;&gt;"Complete"),"",SUMIFS($E$32:$E$51,$C$32:$C$51,B415,$I$32:$I$51,"Ready"))</x:f>
      </x:c>
      <x:c r="I415" s="37" t="str">
        <x:f>IF(OR(B415="",$I$6&lt;&gt;"Complete"),"",I414+E415+G415-H415)</x:f>
      </x:c>
      <x:c r="J415" s="37" t="str">
        <x:f>IF(OR(B415="",$I$6&lt;&gt;"Complete"),"",'Inputs'!$C$49)</x:f>
      </x:c>
      <x:c r="K415" s="37" t="str">
        <x:f>IF(OR(B415="",$I$6&lt;&gt;"Complete"),"",I415-J415)</x:f>
      </x:c>
      <x:c r="L415" s="61" t="str">
        <x:f>IF(OR(B415="",$I$6&lt;&gt;"Complete"),"",IF(K415&lt;0,1,0))</x:f>
      </x:c>
    </x:row>
    <x:row r="416" ht="23" customHeight="1">
      <x:c r="A416" s="2"/>
      <x:c r="B416" s="60" t="str">
        <x:f>IF($D$6&lt;&gt;"Complete","",IF('Inputs'!$C$47+346&lt;=$D$9,'Inputs'!$C$47+346,""))</x:f>
      </x:c>
      <x:c r="C416" s="37" t="str">
        <x:f>IF(B416="","",SUMIFS($D$14:$D$23,$C$14:$C$23,B416))</x:f>
      </x:c>
      <x:c r="D416" s="37" t="str">
        <x:f>IF(B416="","",SUMIFS($E$14:$E$23,$C$14:$C$23,B416))</x:f>
      </x:c>
      <x:c r="E416" s="37" t="str">
        <x:f>IF(B416="","",C416-D416)</x:f>
      </x:c>
      <x:c r="F416" s="37" t="str">
        <x:f>IF(B416="","",F415+E416)</x:f>
      </x:c>
      <x:c r="G416" s="37" t="str">
        <x:f>IF(OR(B416="",$I$6&lt;&gt;"Complete"),"",SUMIFS($D$32:$D$51,$C$32:$C$51,B416,$I$32:$I$51,"Ready"))</x:f>
      </x:c>
      <x:c r="H416" s="37" t="str">
        <x:f>IF(OR(B416="",$I$6&lt;&gt;"Complete"),"",SUMIFS($E$32:$E$51,$C$32:$C$51,B416,$I$32:$I$51,"Ready"))</x:f>
      </x:c>
      <x:c r="I416" s="37" t="str">
        <x:f>IF(OR(B416="",$I$6&lt;&gt;"Complete"),"",I415+E416+G416-H416)</x:f>
      </x:c>
      <x:c r="J416" s="37" t="str">
        <x:f>IF(OR(B416="",$I$6&lt;&gt;"Complete"),"",'Inputs'!$C$49)</x:f>
      </x:c>
      <x:c r="K416" s="37" t="str">
        <x:f>IF(OR(B416="",$I$6&lt;&gt;"Complete"),"",I416-J416)</x:f>
      </x:c>
      <x:c r="L416" s="61" t="str">
        <x:f>IF(OR(B416="",$I$6&lt;&gt;"Complete"),"",IF(K416&lt;0,1,0))</x:f>
      </x:c>
    </x:row>
    <x:row r="417" ht="23" customHeight="1">
      <x:c r="A417" s="2"/>
      <x:c r="B417" s="60" t="str">
        <x:f>IF($D$6&lt;&gt;"Complete","",IF('Inputs'!$C$47+347&lt;=$D$9,'Inputs'!$C$47+347,""))</x:f>
      </x:c>
      <x:c r="C417" s="37" t="str">
        <x:f>IF(B417="","",SUMIFS($D$14:$D$23,$C$14:$C$23,B417))</x:f>
      </x:c>
      <x:c r="D417" s="37" t="str">
        <x:f>IF(B417="","",SUMIFS($E$14:$E$23,$C$14:$C$23,B417))</x:f>
      </x:c>
      <x:c r="E417" s="37" t="str">
        <x:f>IF(B417="","",C417-D417)</x:f>
      </x:c>
      <x:c r="F417" s="37" t="str">
        <x:f>IF(B417="","",F416+E417)</x:f>
      </x:c>
      <x:c r="G417" s="37" t="str">
        <x:f>IF(OR(B417="",$I$6&lt;&gt;"Complete"),"",SUMIFS($D$32:$D$51,$C$32:$C$51,B417,$I$32:$I$51,"Ready"))</x:f>
      </x:c>
      <x:c r="H417" s="37" t="str">
        <x:f>IF(OR(B417="",$I$6&lt;&gt;"Complete"),"",SUMIFS($E$32:$E$51,$C$32:$C$51,B417,$I$32:$I$51,"Ready"))</x:f>
      </x:c>
      <x:c r="I417" s="37" t="str">
        <x:f>IF(OR(B417="",$I$6&lt;&gt;"Complete"),"",I416+E417+G417-H417)</x:f>
      </x:c>
      <x:c r="J417" s="37" t="str">
        <x:f>IF(OR(B417="",$I$6&lt;&gt;"Complete"),"",'Inputs'!$C$49)</x:f>
      </x:c>
      <x:c r="K417" s="37" t="str">
        <x:f>IF(OR(B417="",$I$6&lt;&gt;"Complete"),"",I417-J417)</x:f>
      </x:c>
      <x:c r="L417" s="61" t="str">
        <x:f>IF(OR(B417="",$I$6&lt;&gt;"Complete"),"",IF(K417&lt;0,1,0))</x:f>
      </x:c>
    </x:row>
    <x:row r="418" ht="23" customHeight="1">
      <x:c r="A418" s="2"/>
      <x:c r="B418" s="60" t="str">
        <x:f>IF($D$6&lt;&gt;"Complete","",IF('Inputs'!$C$47+348&lt;=$D$9,'Inputs'!$C$47+348,""))</x:f>
      </x:c>
      <x:c r="C418" s="37" t="str">
        <x:f>IF(B418="","",SUMIFS($D$14:$D$23,$C$14:$C$23,B418))</x:f>
      </x:c>
      <x:c r="D418" s="37" t="str">
        <x:f>IF(B418="","",SUMIFS($E$14:$E$23,$C$14:$C$23,B418))</x:f>
      </x:c>
      <x:c r="E418" s="37" t="str">
        <x:f>IF(B418="","",C418-D418)</x:f>
      </x:c>
      <x:c r="F418" s="37" t="str">
        <x:f>IF(B418="","",F417+E418)</x:f>
      </x:c>
      <x:c r="G418" s="37" t="str">
        <x:f>IF(OR(B418="",$I$6&lt;&gt;"Complete"),"",SUMIFS($D$32:$D$51,$C$32:$C$51,B418,$I$32:$I$51,"Ready"))</x:f>
      </x:c>
      <x:c r="H418" s="37" t="str">
        <x:f>IF(OR(B418="",$I$6&lt;&gt;"Complete"),"",SUMIFS($E$32:$E$51,$C$32:$C$51,B418,$I$32:$I$51,"Ready"))</x:f>
      </x:c>
      <x:c r="I418" s="37" t="str">
        <x:f>IF(OR(B418="",$I$6&lt;&gt;"Complete"),"",I417+E418+G418-H418)</x:f>
      </x:c>
      <x:c r="J418" s="37" t="str">
        <x:f>IF(OR(B418="",$I$6&lt;&gt;"Complete"),"",'Inputs'!$C$49)</x:f>
      </x:c>
      <x:c r="K418" s="37" t="str">
        <x:f>IF(OR(B418="",$I$6&lt;&gt;"Complete"),"",I418-J418)</x:f>
      </x:c>
      <x:c r="L418" s="61" t="str">
        <x:f>IF(OR(B418="",$I$6&lt;&gt;"Complete"),"",IF(K418&lt;0,1,0))</x:f>
      </x:c>
    </x:row>
    <x:row r="419" ht="23" customHeight="1">
      <x:c r="A419" s="2"/>
      <x:c r="B419" s="60" t="str">
        <x:f>IF($D$6&lt;&gt;"Complete","",IF('Inputs'!$C$47+349&lt;=$D$9,'Inputs'!$C$47+349,""))</x:f>
      </x:c>
      <x:c r="C419" s="37" t="str">
        <x:f>IF(B419="","",SUMIFS($D$14:$D$23,$C$14:$C$23,B419))</x:f>
      </x:c>
      <x:c r="D419" s="37" t="str">
        <x:f>IF(B419="","",SUMIFS($E$14:$E$23,$C$14:$C$23,B419))</x:f>
      </x:c>
      <x:c r="E419" s="37" t="str">
        <x:f>IF(B419="","",C419-D419)</x:f>
      </x:c>
      <x:c r="F419" s="37" t="str">
        <x:f>IF(B419="","",F418+E419)</x:f>
      </x:c>
      <x:c r="G419" s="37" t="str">
        <x:f>IF(OR(B419="",$I$6&lt;&gt;"Complete"),"",SUMIFS($D$32:$D$51,$C$32:$C$51,B419,$I$32:$I$51,"Ready"))</x:f>
      </x:c>
      <x:c r="H419" s="37" t="str">
        <x:f>IF(OR(B419="",$I$6&lt;&gt;"Complete"),"",SUMIFS($E$32:$E$51,$C$32:$C$51,B419,$I$32:$I$51,"Ready"))</x:f>
      </x:c>
      <x:c r="I419" s="37" t="str">
        <x:f>IF(OR(B419="",$I$6&lt;&gt;"Complete"),"",I418+E419+G419-H419)</x:f>
      </x:c>
      <x:c r="J419" s="37" t="str">
        <x:f>IF(OR(B419="",$I$6&lt;&gt;"Complete"),"",'Inputs'!$C$49)</x:f>
      </x:c>
      <x:c r="K419" s="37" t="str">
        <x:f>IF(OR(B419="",$I$6&lt;&gt;"Complete"),"",I419-J419)</x:f>
      </x:c>
      <x:c r="L419" s="61" t="str">
        <x:f>IF(OR(B419="",$I$6&lt;&gt;"Complete"),"",IF(K419&lt;0,1,0))</x:f>
      </x:c>
    </x:row>
    <x:row r="420" ht="23" customHeight="1">
      <x:c r="A420" s="2"/>
      <x:c r="B420" s="60" t="str">
        <x:f>IF($D$6&lt;&gt;"Complete","",IF('Inputs'!$C$47+350&lt;=$D$9,'Inputs'!$C$47+350,""))</x:f>
      </x:c>
      <x:c r="C420" s="37" t="str">
        <x:f>IF(B420="","",SUMIFS($D$14:$D$23,$C$14:$C$23,B420))</x:f>
      </x:c>
      <x:c r="D420" s="37" t="str">
        <x:f>IF(B420="","",SUMIFS($E$14:$E$23,$C$14:$C$23,B420))</x:f>
      </x:c>
      <x:c r="E420" s="37" t="str">
        <x:f>IF(B420="","",C420-D420)</x:f>
      </x:c>
      <x:c r="F420" s="37" t="str">
        <x:f>IF(B420="","",F419+E420)</x:f>
      </x:c>
      <x:c r="G420" s="37" t="str">
        <x:f>IF(OR(B420="",$I$6&lt;&gt;"Complete"),"",SUMIFS($D$32:$D$51,$C$32:$C$51,B420,$I$32:$I$51,"Ready"))</x:f>
      </x:c>
      <x:c r="H420" s="37" t="str">
        <x:f>IF(OR(B420="",$I$6&lt;&gt;"Complete"),"",SUMIFS($E$32:$E$51,$C$32:$C$51,B420,$I$32:$I$51,"Ready"))</x:f>
      </x:c>
      <x:c r="I420" s="37" t="str">
        <x:f>IF(OR(B420="",$I$6&lt;&gt;"Complete"),"",I419+E420+G420-H420)</x:f>
      </x:c>
      <x:c r="J420" s="37" t="str">
        <x:f>IF(OR(B420="",$I$6&lt;&gt;"Complete"),"",'Inputs'!$C$49)</x:f>
      </x:c>
      <x:c r="K420" s="37" t="str">
        <x:f>IF(OR(B420="",$I$6&lt;&gt;"Complete"),"",I420-J420)</x:f>
      </x:c>
      <x:c r="L420" s="61" t="str">
        <x:f>IF(OR(B420="",$I$6&lt;&gt;"Complete"),"",IF(K420&lt;0,1,0))</x:f>
      </x:c>
    </x:row>
    <x:row r="421" ht="23" customHeight="1">
      <x:c r="A421" s="2"/>
      <x:c r="B421" s="60" t="str">
        <x:f>IF($D$6&lt;&gt;"Complete","",IF('Inputs'!$C$47+351&lt;=$D$9,'Inputs'!$C$47+351,""))</x:f>
      </x:c>
      <x:c r="C421" s="37" t="str">
        <x:f>IF(B421="","",SUMIFS($D$14:$D$23,$C$14:$C$23,B421))</x:f>
      </x:c>
      <x:c r="D421" s="37" t="str">
        <x:f>IF(B421="","",SUMIFS($E$14:$E$23,$C$14:$C$23,B421))</x:f>
      </x:c>
      <x:c r="E421" s="37" t="str">
        <x:f>IF(B421="","",C421-D421)</x:f>
      </x:c>
      <x:c r="F421" s="37" t="str">
        <x:f>IF(B421="","",F420+E421)</x:f>
      </x:c>
      <x:c r="G421" s="37" t="str">
        <x:f>IF(OR(B421="",$I$6&lt;&gt;"Complete"),"",SUMIFS($D$32:$D$51,$C$32:$C$51,B421,$I$32:$I$51,"Ready"))</x:f>
      </x:c>
      <x:c r="H421" s="37" t="str">
        <x:f>IF(OR(B421="",$I$6&lt;&gt;"Complete"),"",SUMIFS($E$32:$E$51,$C$32:$C$51,B421,$I$32:$I$51,"Ready"))</x:f>
      </x:c>
      <x:c r="I421" s="37" t="str">
        <x:f>IF(OR(B421="",$I$6&lt;&gt;"Complete"),"",I420+E421+G421-H421)</x:f>
      </x:c>
      <x:c r="J421" s="37" t="str">
        <x:f>IF(OR(B421="",$I$6&lt;&gt;"Complete"),"",'Inputs'!$C$49)</x:f>
      </x:c>
      <x:c r="K421" s="37" t="str">
        <x:f>IF(OR(B421="",$I$6&lt;&gt;"Complete"),"",I421-J421)</x:f>
      </x:c>
      <x:c r="L421" s="61" t="str">
        <x:f>IF(OR(B421="",$I$6&lt;&gt;"Complete"),"",IF(K421&lt;0,1,0))</x:f>
      </x:c>
    </x:row>
    <x:row r="422" ht="23" customHeight="1">
      <x:c r="A422" s="2"/>
      <x:c r="B422" s="60" t="str">
        <x:f>IF($D$6&lt;&gt;"Complete","",IF('Inputs'!$C$47+352&lt;=$D$9,'Inputs'!$C$47+352,""))</x:f>
      </x:c>
      <x:c r="C422" s="37" t="str">
        <x:f>IF(B422="","",SUMIFS($D$14:$D$23,$C$14:$C$23,B422))</x:f>
      </x:c>
      <x:c r="D422" s="37" t="str">
        <x:f>IF(B422="","",SUMIFS($E$14:$E$23,$C$14:$C$23,B422))</x:f>
      </x:c>
      <x:c r="E422" s="37" t="str">
        <x:f>IF(B422="","",C422-D422)</x:f>
      </x:c>
      <x:c r="F422" s="37" t="str">
        <x:f>IF(B422="","",F421+E422)</x:f>
      </x:c>
      <x:c r="G422" s="37" t="str">
        <x:f>IF(OR(B422="",$I$6&lt;&gt;"Complete"),"",SUMIFS($D$32:$D$51,$C$32:$C$51,B422,$I$32:$I$51,"Ready"))</x:f>
      </x:c>
      <x:c r="H422" s="37" t="str">
        <x:f>IF(OR(B422="",$I$6&lt;&gt;"Complete"),"",SUMIFS($E$32:$E$51,$C$32:$C$51,B422,$I$32:$I$51,"Ready"))</x:f>
      </x:c>
      <x:c r="I422" s="37" t="str">
        <x:f>IF(OR(B422="",$I$6&lt;&gt;"Complete"),"",I421+E422+G422-H422)</x:f>
      </x:c>
      <x:c r="J422" s="37" t="str">
        <x:f>IF(OR(B422="",$I$6&lt;&gt;"Complete"),"",'Inputs'!$C$49)</x:f>
      </x:c>
      <x:c r="K422" s="37" t="str">
        <x:f>IF(OR(B422="",$I$6&lt;&gt;"Complete"),"",I422-J422)</x:f>
      </x:c>
      <x:c r="L422" s="61" t="str">
        <x:f>IF(OR(B422="",$I$6&lt;&gt;"Complete"),"",IF(K422&lt;0,1,0))</x:f>
      </x:c>
    </x:row>
    <x:row r="423" ht="23" customHeight="1">
      <x:c r="A423" s="2"/>
      <x:c r="B423" s="60" t="str">
        <x:f>IF($D$6&lt;&gt;"Complete","",IF('Inputs'!$C$47+353&lt;=$D$9,'Inputs'!$C$47+353,""))</x:f>
      </x:c>
      <x:c r="C423" s="37" t="str">
        <x:f>IF(B423="","",SUMIFS($D$14:$D$23,$C$14:$C$23,B423))</x:f>
      </x:c>
      <x:c r="D423" s="37" t="str">
        <x:f>IF(B423="","",SUMIFS($E$14:$E$23,$C$14:$C$23,B423))</x:f>
      </x:c>
      <x:c r="E423" s="37" t="str">
        <x:f>IF(B423="","",C423-D423)</x:f>
      </x:c>
      <x:c r="F423" s="37" t="str">
        <x:f>IF(B423="","",F422+E423)</x:f>
      </x:c>
      <x:c r="G423" s="37" t="str">
        <x:f>IF(OR(B423="",$I$6&lt;&gt;"Complete"),"",SUMIFS($D$32:$D$51,$C$32:$C$51,B423,$I$32:$I$51,"Ready"))</x:f>
      </x:c>
      <x:c r="H423" s="37" t="str">
        <x:f>IF(OR(B423="",$I$6&lt;&gt;"Complete"),"",SUMIFS($E$32:$E$51,$C$32:$C$51,B423,$I$32:$I$51,"Ready"))</x:f>
      </x:c>
      <x:c r="I423" s="37" t="str">
        <x:f>IF(OR(B423="",$I$6&lt;&gt;"Complete"),"",I422+E423+G423-H423)</x:f>
      </x:c>
      <x:c r="J423" s="37" t="str">
        <x:f>IF(OR(B423="",$I$6&lt;&gt;"Complete"),"",'Inputs'!$C$49)</x:f>
      </x:c>
      <x:c r="K423" s="37" t="str">
        <x:f>IF(OR(B423="",$I$6&lt;&gt;"Complete"),"",I423-J423)</x:f>
      </x:c>
      <x:c r="L423" s="61" t="str">
        <x:f>IF(OR(B423="",$I$6&lt;&gt;"Complete"),"",IF(K423&lt;0,1,0))</x:f>
      </x:c>
    </x:row>
    <x:row r="424" ht="23" customHeight="1">
      <x:c r="A424" s="2"/>
      <x:c r="B424" s="60" t="str">
        <x:f>IF($D$6&lt;&gt;"Complete","",IF('Inputs'!$C$47+354&lt;=$D$9,'Inputs'!$C$47+354,""))</x:f>
      </x:c>
      <x:c r="C424" s="37" t="str">
        <x:f>IF(B424="","",SUMIFS($D$14:$D$23,$C$14:$C$23,B424))</x:f>
      </x:c>
      <x:c r="D424" s="37" t="str">
        <x:f>IF(B424="","",SUMIFS($E$14:$E$23,$C$14:$C$23,B424))</x:f>
      </x:c>
      <x:c r="E424" s="37" t="str">
        <x:f>IF(B424="","",C424-D424)</x:f>
      </x:c>
      <x:c r="F424" s="37" t="str">
        <x:f>IF(B424="","",F423+E424)</x:f>
      </x:c>
      <x:c r="G424" s="37" t="str">
        <x:f>IF(OR(B424="",$I$6&lt;&gt;"Complete"),"",SUMIFS($D$32:$D$51,$C$32:$C$51,B424,$I$32:$I$51,"Ready"))</x:f>
      </x:c>
      <x:c r="H424" s="37" t="str">
        <x:f>IF(OR(B424="",$I$6&lt;&gt;"Complete"),"",SUMIFS($E$32:$E$51,$C$32:$C$51,B424,$I$32:$I$51,"Ready"))</x:f>
      </x:c>
      <x:c r="I424" s="37" t="str">
        <x:f>IF(OR(B424="",$I$6&lt;&gt;"Complete"),"",I423+E424+G424-H424)</x:f>
      </x:c>
      <x:c r="J424" s="37" t="str">
        <x:f>IF(OR(B424="",$I$6&lt;&gt;"Complete"),"",'Inputs'!$C$49)</x:f>
      </x:c>
      <x:c r="K424" s="37" t="str">
        <x:f>IF(OR(B424="",$I$6&lt;&gt;"Complete"),"",I424-J424)</x:f>
      </x:c>
      <x:c r="L424" s="61" t="str">
        <x:f>IF(OR(B424="",$I$6&lt;&gt;"Complete"),"",IF(K424&lt;0,1,0))</x:f>
      </x:c>
    </x:row>
    <x:row r="425" ht="23" customHeight="1">
      <x:c r="A425" s="2"/>
      <x:c r="B425" s="60" t="str">
        <x:f>IF($D$6&lt;&gt;"Complete","",IF('Inputs'!$C$47+355&lt;=$D$9,'Inputs'!$C$47+355,""))</x:f>
      </x:c>
      <x:c r="C425" s="37" t="str">
        <x:f>IF(B425="","",SUMIFS($D$14:$D$23,$C$14:$C$23,B425))</x:f>
      </x:c>
      <x:c r="D425" s="37" t="str">
        <x:f>IF(B425="","",SUMIFS($E$14:$E$23,$C$14:$C$23,B425))</x:f>
      </x:c>
      <x:c r="E425" s="37" t="str">
        <x:f>IF(B425="","",C425-D425)</x:f>
      </x:c>
      <x:c r="F425" s="37" t="str">
        <x:f>IF(B425="","",F424+E425)</x:f>
      </x:c>
      <x:c r="G425" s="37" t="str">
        <x:f>IF(OR(B425="",$I$6&lt;&gt;"Complete"),"",SUMIFS($D$32:$D$51,$C$32:$C$51,B425,$I$32:$I$51,"Ready"))</x:f>
      </x:c>
      <x:c r="H425" s="37" t="str">
        <x:f>IF(OR(B425="",$I$6&lt;&gt;"Complete"),"",SUMIFS($E$32:$E$51,$C$32:$C$51,B425,$I$32:$I$51,"Ready"))</x:f>
      </x:c>
      <x:c r="I425" s="37" t="str">
        <x:f>IF(OR(B425="",$I$6&lt;&gt;"Complete"),"",I424+E425+G425-H425)</x:f>
      </x:c>
      <x:c r="J425" s="37" t="str">
        <x:f>IF(OR(B425="",$I$6&lt;&gt;"Complete"),"",'Inputs'!$C$49)</x:f>
      </x:c>
      <x:c r="K425" s="37" t="str">
        <x:f>IF(OR(B425="",$I$6&lt;&gt;"Complete"),"",I425-J425)</x:f>
      </x:c>
      <x:c r="L425" s="61" t="str">
        <x:f>IF(OR(B425="",$I$6&lt;&gt;"Complete"),"",IF(K425&lt;0,1,0))</x:f>
      </x:c>
    </x:row>
    <x:row r="426" ht="23" customHeight="1">
      <x:c r="A426" s="2"/>
      <x:c r="B426" s="60" t="str">
        <x:f>IF($D$6&lt;&gt;"Complete","",IF('Inputs'!$C$47+356&lt;=$D$9,'Inputs'!$C$47+356,""))</x:f>
      </x:c>
      <x:c r="C426" s="37" t="str">
        <x:f>IF(B426="","",SUMIFS($D$14:$D$23,$C$14:$C$23,B426))</x:f>
      </x:c>
      <x:c r="D426" s="37" t="str">
        <x:f>IF(B426="","",SUMIFS($E$14:$E$23,$C$14:$C$23,B426))</x:f>
      </x:c>
      <x:c r="E426" s="37" t="str">
        <x:f>IF(B426="","",C426-D426)</x:f>
      </x:c>
      <x:c r="F426" s="37" t="str">
        <x:f>IF(B426="","",F425+E426)</x:f>
      </x:c>
      <x:c r="G426" s="37" t="str">
        <x:f>IF(OR(B426="",$I$6&lt;&gt;"Complete"),"",SUMIFS($D$32:$D$51,$C$32:$C$51,B426,$I$32:$I$51,"Ready"))</x:f>
      </x:c>
      <x:c r="H426" s="37" t="str">
        <x:f>IF(OR(B426="",$I$6&lt;&gt;"Complete"),"",SUMIFS($E$32:$E$51,$C$32:$C$51,B426,$I$32:$I$51,"Ready"))</x:f>
      </x:c>
      <x:c r="I426" s="37" t="str">
        <x:f>IF(OR(B426="",$I$6&lt;&gt;"Complete"),"",I425+E426+G426-H426)</x:f>
      </x:c>
      <x:c r="J426" s="37" t="str">
        <x:f>IF(OR(B426="",$I$6&lt;&gt;"Complete"),"",'Inputs'!$C$49)</x:f>
      </x:c>
      <x:c r="K426" s="37" t="str">
        <x:f>IF(OR(B426="",$I$6&lt;&gt;"Complete"),"",I426-J426)</x:f>
      </x:c>
      <x:c r="L426" s="61" t="str">
        <x:f>IF(OR(B426="",$I$6&lt;&gt;"Complete"),"",IF(K426&lt;0,1,0))</x:f>
      </x:c>
    </x:row>
    <x:row r="427" ht="23" customHeight="1">
      <x:c r="A427" s="2"/>
      <x:c r="B427" s="60" t="str">
        <x:f>IF($D$6&lt;&gt;"Complete","",IF('Inputs'!$C$47+357&lt;=$D$9,'Inputs'!$C$47+357,""))</x:f>
      </x:c>
      <x:c r="C427" s="37" t="str">
        <x:f>IF(B427="","",SUMIFS($D$14:$D$23,$C$14:$C$23,B427))</x:f>
      </x:c>
      <x:c r="D427" s="37" t="str">
        <x:f>IF(B427="","",SUMIFS($E$14:$E$23,$C$14:$C$23,B427))</x:f>
      </x:c>
      <x:c r="E427" s="37" t="str">
        <x:f>IF(B427="","",C427-D427)</x:f>
      </x:c>
      <x:c r="F427" s="37" t="str">
        <x:f>IF(B427="","",F426+E427)</x:f>
      </x:c>
      <x:c r="G427" s="37" t="str">
        <x:f>IF(OR(B427="",$I$6&lt;&gt;"Complete"),"",SUMIFS($D$32:$D$51,$C$32:$C$51,B427,$I$32:$I$51,"Ready"))</x:f>
      </x:c>
      <x:c r="H427" s="37" t="str">
        <x:f>IF(OR(B427="",$I$6&lt;&gt;"Complete"),"",SUMIFS($E$32:$E$51,$C$32:$C$51,B427,$I$32:$I$51,"Ready"))</x:f>
      </x:c>
      <x:c r="I427" s="37" t="str">
        <x:f>IF(OR(B427="",$I$6&lt;&gt;"Complete"),"",I426+E427+G427-H427)</x:f>
      </x:c>
      <x:c r="J427" s="37" t="str">
        <x:f>IF(OR(B427="",$I$6&lt;&gt;"Complete"),"",'Inputs'!$C$49)</x:f>
      </x:c>
      <x:c r="K427" s="37" t="str">
        <x:f>IF(OR(B427="",$I$6&lt;&gt;"Complete"),"",I427-J427)</x:f>
      </x:c>
      <x:c r="L427" s="61" t="str">
        <x:f>IF(OR(B427="",$I$6&lt;&gt;"Complete"),"",IF(K427&lt;0,1,0))</x:f>
      </x:c>
    </x:row>
    <x:row r="428" ht="23" customHeight="1">
      <x:c r="A428" s="2"/>
      <x:c r="B428" s="60" t="str">
        <x:f>IF($D$6&lt;&gt;"Complete","",IF('Inputs'!$C$47+358&lt;=$D$9,'Inputs'!$C$47+358,""))</x:f>
      </x:c>
      <x:c r="C428" s="37" t="str">
        <x:f>IF(B428="","",SUMIFS($D$14:$D$23,$C$14:$C$23,B428))</x:f>
      </x:c>
      <x:c r="D428" s="37" t="str">
        <x:f>IF(B428="","",SUMIFS($E$14:$E$23,$C$14:$C$23,B428))</x:f>
      </x:c>
      <x:c r="E428" s="37" t="str">
        <x:f>IF(B428="","",C428-D428)</x:f>
      </x:c>
      <x:c r="F428" s="37" t="str">
        <x:f>IF(B428="","",F427+E428)</x:f>
      </x:c>
      <x:c r="G428" s="37" t="str">
        <x:f>IF(OR(B428="",$I$6&lt;&gt;"Complete"),"",SUMIFS($D$32:$D$51,$C$32:$C$51,B428,$I$32:$I$51,"Ready"))</x:f>
      </x:c>
      <x:c r="H428" s="37" t="str">
        <x:f>IF(OR(B428="",$I$6&lt;&gt;"Complete"),"",SUMIFS($E$32:$E$51,$C$32:$C$51,B428,$I$32:$I$51,"Ready"))</x:f>
      </x:c>
      <x:c r="I428" s="37" t="str">
        <x:f>IF(OR(B428="",$I$6&lt;&gt;"Complete"),"",I427+E428+G428-H428)</x:f>
      </x:c>
      <x:c r="J428" s="37" t="str">
        <x:f>IF(OR(B428="",$I$6&lt;&gt;"Complete"),"",'Inputs'!$C$49)</x:f>
      </x:c>
      <x:c r="K428" s="37" t="str">
        <x:f>IF(OR(B428="",$I$6&lt;&gt;"Complete"),"",I428-J428)</x:f>
      </x:c>
      <x:c r="L428" s="61" t="str">
        <x:f>IF(OR(B428="",$I$6&lt;&gt;"Complete"),"",IF(K428&lt;0,1,0))</x:f>
      </x:c>
    </x:row>
    <x:row r="429" ht="23" customHeight="1">
      <x:c r="A429" s="2"/>
      <x:c r="B429" s="60" t="str">
        <x:f>IF($D$6&lt;&gt;"Complete","",IF('Inputs'!$C$47+359&lt;=$D$9,'Inputs'!$C$47+359,""))</x:f>
      </x:c>
      <x:c r="C429" s="37" t="str">
        <x:f>IF(B429="","",SUMIFS($D$14:$D$23,$C$14:$C$23,B429))</x:f>
      </x:c>
      <x:c r="D429" s="37" t="str">
        <x:f>IF(B429="","",SUMIFS($E$14:$E$23,$C$14:$C$23,B429))</x:f>
      </x:c>
      <x:c r="E429" s="37" t="str">
        <x:f>IF(B429="","",C429-D429)</x:f>
      </x:c>
      <x:c r="F429" s="37" t="str">
        <x:f>IF(B429="","",F428+E429)</x:f>
      </x:c>
      <x:c r="G429" s="37" t="str">
        <x:f>IF(OR(B429="",$I$6&lt;&gt;"Complete"),"",SUMIFS($D$32:$D$51,$C$32:$C$51,B429,$I$32:$I$51,"Ready"))</x:f>
      </x:c>
      <x:c r="H429" s="37" t="str">
        <x:f>IF(OR(B429="",$I$6&lt;&gt;"Complete"),"",SUMIFS($E$32:$E$51,$C$32:$C$51,B429,$I$32:$I$51,"Ready"))</x:f>
      </x:c>
      <x:c r="I429" s="37" t="str">
        <x:f>IF(OR(B429="",$I$6&lt;&gt;"Complete"),"",I428+E429+G429-H429)</x:f>
      </x:c>
      <x:c r="J429" s="37" t="str">
        <x:f>IF(OR(B429="",$I$6&lt;&gt;"Complete"),"",'Inputs'!$C$49)</x:f>
      </x:c>
      <x:c r="K429" s="37" t="str">
        <x:f>IF(OR(B429="",$I$6&lt;&gt;"Complete"),"",I429-J429)</x:f>
      </x:c>
      <x:c r="L429" s="61" t="str">
        <x:f>IF(OR(B429="",$I$6&lt;&gt;"Complete"),"",IF(K429&lt;0,1,0))</x:f>
      </x:c>
    </x:row>
    <x:row r="430" ht="23" customHeight="1">
      <x:c r="A430" s="2"/>
      <x:c r="B430" s="60" t="str">
        <x:f>IF($D$6&lt;&gt;"Complete","",IF('Inputs'!$C$47+360&lt;=$D$9,'Inputs'!$C$47+360,""))</x:f>
      </x:c>
      <x:c r="C430" s="37" t="str">
        <x:f>IF(B430="","",SUMIFS($D$14:$D$23,$C$14:$C$23,B430))</x:f>
      </x:c>
      <x:c r="D430" s="37" t="str">
        <x:f>IF(B430="","",SUMIFS($E$14:$E$23,$C$14:$C$23,B430))</x:f>
      </x:c>
      <x:c r="E430" s="37" t="str">
        <x:f>IF(B430="","",C430-D430)</x:f>
      </x:c>
      <x:c r="F430" s="37" t="str">
        <x:f>IF(B430="","",F429+E430)</x:f>
      </x:c>
      <x:c r="G430" s="37" t="str">
        <x:f>IF(OR(B430="",$I$6&lt;&gt;"Complete"),"",SUMIFS($D$32:$D$51,$C$32:$C$51,B430,$I$32:$I$51,"Ready"))</x:f>
      </x:c>
      <x:c r="H430" s="37" t="str">
        <x:f>IF(OR(B430="",$I$6&lt;&gt;"Complete"),"",SUMIFS($E$32:$E$51,$C$32:$C$51,B430,$I$32:$I$51,"Ready"))</x:f>
      </x:c>
      <x:c r="I430" s="37" t="str">
        <x:f>IF(OR(B430="",$I$6&lt;&gt;"Complete"),"",I429+E430+G430-H430)</x:f>
      </x:c>
      <x:c r="J430" s="37" t="str">
        <x:f>IF(OR(B430="",$I$6&lt;&gt;"Complete"),"",'Inputs'!$C$49)</x:f>
      </x:c>
      <x:c r="K430" s="37" t="str">
        <x:f>IF(OR(B430="",$I$6&lt;&gt;"Complete"),"",I430-J430)</x:f>
      </x:c>
      <x:c r="L430" s="61" t="str">
        <x:f>IF(OR(B430="",$I$6&lt;&gt;"Complete"),"",IF(K430&lt;0,1,0))</x:f>
      </x:c>
    </x:row>
    <x:row r="431" ht="23" customHeight="1">
      <x:c r="A431" s="2"/>
      <x:c r="B431" s="60" t="str">
        <x:f>IF($D$6&lt;&gt;"Complete","",IF('Inputs'!$C$47+361&lt;=$D$9,'Inputs'!$C$47+361,""))</x:f>
      </x:c>
      <x:c r="C431" s="37" t="str">
        <x:f>IF(B431="","",SUMIFS($D$14:$D$23,$C$14:$C$23,B431))</x:f>
      </x:c>
      <x:c r="D431" s="37" t="str">
        <x:f>IF(B431="","",SUMIFS($E$14:$E$23,$C$14:$C$23,B431))</x:f>
      </x:c>
      <x:c r="E431" s="37" t="str">
        <x:f>IF(B431="","",C431-D431)</x:f>
      </x:c>
      <x:c r="F431" s="37" t="str">
        <x:f>IF(B431="","",F430+E431)</x:f>
      </x:c>
      <x:c r="G431" s="37" t="str">
        <x:f>IF(OR(B431="",$I$6&lt;&gt;"Complete"),"",SUMIFS($D$32:$D$51,$C$32:$C$51,B431,$I$32:$I$51,"Ready"))</x:f>
      </x:c>
      <x:c r="H431" s="37" t="str">
        <x:f>IF(OR(B431="",$I$6&lt;&gt;"Complete"),"",SUMIFS($E$32:$E$51,$C$32:$C$51,B431,$I$32:$I$51,"Ready"))</x:f>
      </x:c>
      <x:c r="I431" s="37" t="str">
        <x:f>IF(OR(B431="",$I$6&lt;&gt;"Complete"),"",I430+E431+G431-H431)</x:f>
      </x:c>
      <x:c r="J431" s="37" t="str">
        <x:f>IF(OR(B431="",$I$6&lt;&gt;"Complete"),"",'Inputs'!$C$49)</x:f>
      </x:c>
      <x:c r="K431" s="37" t="str">
        <x:f>IF(OR(B431="",$I$6&lt;&gt;"Complete"),"",I431-J431)</x:f>
      </x:c>
      <x:c r="L431" s="61" t="str">
        <x:f>IF(OR(B431="",$I$6&lt;&gt;"Complete"),"",IF(K431&lt;0,1,0))</x:f>
      </x:c>
    </x:row>
    <x:row r="432" ht="23" customHeight="1">
      <x:c r="A432" s="2"/>
      <x:c r="B432" s="60" t="str">
        <x:f>IF($D$6&lt;&gt;"Complete","",IF('Inputs'!$C$47+362&lt;=$D$9,'Inputs'!$C$47+362,""))</x:f>
      </x:c>
      <x:c r="C432" s="37" t="str">
        <x:f>IF(B432="","",SUMIFS($D$14:$D$23,$C$14:$C$23,B432))</x:f>
      </x:c>
      <x:c r="D432" s="37" t="str">
        <x:f>IF(B432="","",SUMIFS($E$14:$E$23,$C$14:$C$23,B432))</x:f>
      </x:c>
      <x:c r="E432" s="37" t="str">
        <x:f>IF(B432="","",C432-D432)</x:f>
      </x:c>
      <x:c r="F432" s="37" t="str">
        <x:f>IF(B432="","",F431+E432)</x:f>
      </x:c>
      <x:c r="G432" s="37" t="str">
        <x:f>IF(OR(B432="",$I$6&lt;&gt;"Complete"),"",SUMIFS($D$32:$D$51,$C$32:$C$51,B432,$I$32:$I$51,"Ready"))</x:f>
      </x:c>
      <x:c r="H432" s="37" t="str">
        <x:f>IF(OR(B432="",$I$6&lt;&gt;"Complete"),"",SUMIFS($E$32:$E$51,$C$32:$C$51,B432,$I$32:$I$51,"Ready"))</x:f>
      </x:c>
      <x:c r="I432" s="37" t="str">
        <x:f>IF(OR(B432="",$I$6&lt;&gt;"Complete"),"",I431+E432+G432-H432)</x:f>
      </x:c>
      <x:c r="J432" s="37" t="str">
        <x:f>IF(OR(B432="",$I$6&lt;&gt;"Complete"),"",'Inputs'!$C$49)</x:f>
      </x:c>
      <x:c r="K432" s="37" t="str">
        <x:f>IF(OR(B432="",$I$6&lt;&gt;"Complete"),"",I432-J432)</x:f>
      </x:c>
      <x:c r="L432" s="61" t="str">
        <x:f>IF(OR(B432="",$I$6&lt;&gt;"Complete"),"",IF(K432&lt;0,1,0))</x:f>
      </x:c>
    </x:row>
    <x:row r="433" ht="23" customHeight="1">
      <x:c r="A433" s="2"/>
      <x:c r="B433" s="60" t="str">
        <x:f>IF($D$6&lt;&gt;"Complete","",IF('Inputs'!$C$47+363&lt;=$D$9,'Inputs'!$C$47+363,""))</x:f>
      </x:c>
      <x:c r="C433" s="37" t="str">
        <x:f>IF(B433="","",SUMIFS($D$14:$D$23,$C$14:$C$23,B433))</x:f>
      </x:c>
      <x:c r="D433" s="37" t="str">
        <x:f>IF(B433="","",SUMIFS($E$14:$E$23,$C$14:$C$23,B433))</x:f>
      </x:c>
      <x:c r="E433" s="37" t="str">
        <x:f>IF(B433="","",C433-D433)</x:f>
      </x:c>
      <x:c r="F433" s="37" t="str">
        <x:f>IF(B433="","",F432+E433)</x:f>
      </x:c>
      <x:c r="G433" s="37" t="str">
        <x:f>IF(OR(B433="",$I$6&lt;&gt;"Complete"),"",SUMIFS($D$32:$D$51,$C$32:$C$51,B433,$I$32:$I$51,"Ready"))</x:f>
      </x:c>
      <x:c r="H433" s="37" t="str">
        <x:f>IF(OR(B433="",$I$6&lt;&gt;"Complete"),"",SUMIFS($E$32:$E$51,$C$32:$C$51,B433,$I$32:$I$51,"Ready"))</x:f>
      </x:c>
      <x:c r="I433" s="37" t="str">
        <x:f>IF(OR(B433="",$I$6&lt;&gt;"Complete"),"",I432+E433+G433-H433)</x:f>
      </x:c>
      <x:c r="J433" s="37" t="str">
        <x:f>IF(OR(B433="",$I$6&lt;&gt;"Complete"),"",'Inputs'!$C$49)</x:f>
      </x:c>
      <x:c r="K433" s="37" t="str">
        <x:f>IF(OR(B433="",$I$6&lt;&gt;"Complete"),"",I433-J433)</x:f>
      </x:c>
      <x:c r="L433" s="61" t="str">
        <x:f>IF(OR(B433="",$I$6&lt;&gt;"Complete"),"",IF(K433&lt;0,1,0))</x:f>
      </x:c>
    </x:row>
    <x:row r="434" ht="23" customHeight="1">
      <x:c r="A434" s="2"/>
      <x:c r="B434" s="60" t="str">
        <x:f>IF($D$6&lt;&gt;"Complete","",IF('Inputs'!$C$47+364&lt;=$D$9,'Inputs'!$C$47+364,""))</x:f>
      </x:c>
      <x:c r="C434" s="37" t="str">
        <x:f>IF(B434="","",SUMIFS($D$14:$D$23,$C$14:$C$23,B434))</x:f>
      </x:c>
      <x:c r="D434" s="37" t="str">
        <x:f>IF(B434="","",SUMIFS($E$14:$E$23,$C$14:$C$23,B434))</x:f>
      </x:c>
      <x:c r="E434" s="37" t="str">
        <x:f>IF(B434="","",C434-D434)</x:f>
      </x:c>
      <x:c r="F434" s="37" t="str">
        <x:f>IF(B434="","",F433+E434)</x:f>
      </x:c>
      <x:c r="G434" s="37" t="str">
        <x:f>IF(OR(B434="",$I$6&lt;&gt;"Complete"),"",SUMIFS($D$32:$D$51,$C$32:$C$51,B434,$I$32:$I$51,"Ready"))</x:f>
      </x:c>
      <x:c r="H434" s="37" t="str">
        <x:f>IF(OR(B434="",$I$6&lt;&gt;"Complete"),"",SUMIFS($E$32:$E$51,$C$32:$C$51,B434,$I$32:$I$51,"Ready"))</x:f>
      </x:c>
      <x:c r="I434" s="37" t="str">
        <x:f>IF(OR(B434="",$I$6&lt;&gt;"Complete"),"",I433+E434+G434-H434)</x:f>
      </x:c>
      <x:c r="J434" s="37" t="str">
        <x:f>IF(OR(B434="",$I$6&lt;&gt;"Complete"),"",'Inputs'!$C$49)</x:f>
      </x:c>
      <x:c r="K434" s="37" t="str">
        <x:f>IF(OR(B434="",$I$6&lt;&gt;"Complete"),"",I434-J434)</x:f>
      </x:c>
      <x:c r="L434" s="61" t="str">
        <x:f>IF(OR(B434="",$I$6&lt;&gt;"Complete"),"",IF(K434&lt;0,1,0))</x:f>
      </x:c>
    </x:row>
    <x:row r="435" ht="23" customHeight="1">
      <x:c r="A435" s="2"/>
      <x:c r="B435" s="60" t="str">
        <x:f>IF($D$6&lt;&gt;"Complete","",IF('Inputs'!$C$47+365&lt;=$D$9,'Inputs'!$C$47+365,""))</x:f>
      </x:c>
      <x:c r="C435" s="37" t="str">
        <x:f>IF(B435="","",SUMIFS($D$14:$D$23,$C$14:$C$23,B435))</x:f>
      </x:c>
      <x:c r="D435" s="37" t="str">
        <x:f>IF(B435="","",SUMIFS($E$14:$E$23,$C$14:$C$23,B435))</x:f>
      </x:c>
      <x:c r="E435" s="37" t="str">
        <x:f>IF(B435="","",C435-D435)</x:f>
      </x:c>
      <x:c r="F435" s="37" t="str">
        <x:f>IF(B435="","",F434+E435)</x:f>
      </x:c>
      <x:c r="G435" s="37" t="str">
        <x:f>IF(OR(B435="",$I$6&lt;&gt;"Complete"),"",SUMIFS($D$32:$D$51,$C$32:$C$51,B435,$I$32:$I$51,"Ready"))</x:f>
      </x:c>
      <x:c r="H435" s="37" t="str">
        <x:f>IF(OR(B435="",$I$6&lt;&gt;"Complete"),"",SUMIFS($E$32:$E$51,$C$32:$C$51,B435,$I$32:$I$51,"Ready"))</x:f>
      </x:c>
      <x:c r="I435" s="37" t="str">
        <x:f>IF(OR(B435="",$I$6&lt;&gt;"Complete"),"",I434+E435+G435-H435)</x:f>
      </x:c>
      <x:c r="J435" s="37" t="str">
        <x:f>IF(OR(B435="",$I$6&lt;&gt;"Complete"),"",'Inputs'!$C$49)</x:f>
      </x:c>
      <x:c r="K435" s="37" t="str">
        <x:f>IF(OR(B435="",$I$6&lt;&gt;"Complete"),"",I435-J435)</x:f>
      </x:c>
      <x:c r="L435" s="61" t="str">
        <x:f>IF(OR(B435="",$I$6&lt;&gt;"Complete"),"",IF(K435&lt;0,1,0))</x:f>
      </x:c>
    </x:row>
    <x:row r="436" ht="23" customHeight="1">
      <x:c r="A436" s="2"/>
      <x:c r="B436" s="60" t="str">
        <x:f>IF($D$6&lt;&gt;"Complete","",IF('Inputs'!$C$47+366&lt;=$D$9,'Inputs'!$C$47+366,""))</x:f>
      </x:c>
      <x:c r="C436" s="37" t="str">
        <x:f>IF(B436="","",SUMIFS($D$14:$D$23,$C$14:$C$23,B436))</x:f>
      </x:c>
      <x:c r="D436" s="37" t="str">
        <x:f>IF(B436="","",SUMIFS($E$14:$E$23,$C$14:$C$23,B436))</x:f>
      </x:c>
      <x:c r="E436" s="37" t="str">
        <x:f>IF(B436="","",C436-D436)</x:f>
      </x:c>
      <x:c r="F436" s="37" t="str">
        <x:f>IF(B436="","",F435+E436)</x:f>
      </x:c>
      <x:c r="G436" s="37" t="str">
        <x:f>IF(OR(B436="",$I$6&lt;&gt;"Complete"),"",SUMIFS($D$32:$D$51,$C$32:$C$51,B436,$I$32:$I$51,"Ready"))</x:f>
      </x:c>
      <x:c r="H436" s="37" t="str">
        <x:f>IF(OR(B436="",$I$6&lt;&gt;"Complete"),"",SUMIFS($E$32:$E$51,$C$32:$C$51,B436,$I$32:$I$51,"Ready"))</x:f>
      </x:c>
      <x:c r="I436" s="37" t="str">
        <x:f>IF(OR(B436="",$I$6&lt;&gt;"Complete"),"",I435+E436+G436-H436)</x:f>
      </x:c>
      <x:c r="J436" s="37" t="str">
        <x:f>IF(OR(B436="",$I$6&lt;&gt;"Complete"),"",'Inputs'!$C$49)</x:f>
      </x:c>
      <x:c r="K436" s="37" t="str">
        <x:f>IF(OR(B436="",$I$6&lt;&gt;"Complete"),"",I436-J436)</x:f>
      </x:c>
      <x:c r="L436" s="61" t="str">
        <x:f>IF(OR(B436="",$I$6&lt;&gt;"Complete"),"",IF(K436&lt;0,1,0))</x:f>
      </x:c>
    </x:row>
    <x:row r="437" ht="23" customHeight="1">
      <x:c r="A437" s="2"/>
      <x:c r="B437" s="60" t="str">
        <x:f>IF($D$6&lt;&gt;"Complete","",IF('Inputs'!$C$47+367&lt;=$D$9,'Inputs'!$C$47+367,""))</x:f>
      </x:c>
      <x:c r="C437" s="37" t="str">
        <x:f>IF(B437="","",SUMIFS($D$14:$D$23,$C$14:$C$23,B437))</x:f>
      </x:c>
      <x:c r="D437" s="37" t="str">
        <x:f>IF(B437="","",SUMIFS($E$14:$E$23,$C$14:$C$23,B437))</x:f>
      </x:c>
      <x:c r="E437" s="37" t="str">
        <x:f>IF(B437="","",C437-D437)</x:f>
      </x:c>
      <x:c r="F437" s="37" t="str">
        <x:f>IF(B437="","",F436+E437)</x:f>
      </x:c>
      <x:c r="G437" s="37" t="str">
        <x:f>IF(OR(B437="",$I$6&lt;&gt;"Complete"),"",SUMIFS($D$32:$D$51,$C$32:$C$51,B437,$I$32:$I$51,"Ready"))</x:f>
      </x:c>
      <x:c r="H437" s="37" t="str">
        <x:f>IF(OR(B437="",$I$6&lt;&gt;"Complete"),"",SUMIFS($E$32:$E$51,$C$32:$C$51,B437,$I$32:$I$51,"Ready"))</x:f>
      </x:c>
      <x:c r="I437" s="37" t="str">
        <x:f>IF(OR(B437="",$I$6&lt;&gt;"Complete"),"",I436+E437+G437-H437)</x:f>
      </x:c>
      <x:c r="J437" s="37" t="str">
        <x:f>IF(OR(B437="",$I$6&lt;&gt;"Complete"),"",'Inputs'!$C$49)</x:f>
      </x:c>
      <x:c r="K437" s="37" t="str">
        <x:f>IF(OR(B437="",$I$6&lt;&gt;"Complete"),"",I437-J437)</x:f>
      </x:c>
      <x:c r="L437" s="61" t="str">
        <x:f>IF(OR(B437="",$I$6&lt;&gt;"Complete"),"",IF(K437&lt;0,1,0))</x:f>
      </x:c>
    </x:row>
    <x:row r="438" ht="23" customHeight="1">
      <x:c r="A438" s="2"/>
      <x:c r="B438" s="60" t="str">
        <x:f>IF($D$6&lt;&gt;"Complete","",IF('Inputs'!$C$47+368&lt;=$D$9,'Inputs'!$C$47+368,""))</x:f>
      </x:c>
      <x:c r="C438" s="37" t="str">
        <x:f>IF(B438="","",SUMIFS($D$14:$D$23,$C$14:$C$23,B438))</x:f>
      </x:c>
      <x:c r="D438" s="37" t="str">
        <x:f>IF(B438="","",SUMIFS($E$14:$E$23,$C$14:$C$23,B438))</x:f>
      </x:c>
      <x:c r="E438" s="37" t="str">
        <x:f>IF(B438="","",C438-D438)</x:f>
      </x:c>
      <x:c r="F438" s="37" t="str">
        <x:f>IF(B438="","",F437+E438)</x:f>
      </x:c>
      <x:c r="G438" s="37" t="str">
        <x:f>IF(OR(B438="",$I$6&lt;&gt;"Complete"),"",SUMIFS($D$32:$D$51,$C$32:$C$51,B438,$I$32:$I$51,"Ready"))</x:f>
      </x:c>
      <x:c r="H438" s="37" t="str">
        <x:f>IF(OR(B438="",$I$6&lt;&gt;"Complete"),"",SUMIFS($E$32:$E$51,$C$32:$C$51,B438,$I$32:$I$51,"Ready"))</x:f>
      </x:c>
      <x:c r="I438" s="37" t="str">
        <x:f>IF(OR(B438="",$I$6&lt;&gt;"Complete"),"",I437+E438+G438-H438)</x:f>
      </x:c>
      <x:c r="J438" s="37" t="str">
        <x:f>IF(OR(B438="",$I$6&lt;&gt;"Complete"),"",'Inputs'!$C$49)</x:f>
      </x:c>
      <x:c r="K438" s="37" t="str">
        <x:f>IF(OR(B438="",$I$6&lt;&gt;"Complete"),"",I438-J438)</x:f>
      </x:c>
      <x:c r="L438" s="61" t="str">
        <x:f>IF(OR(B438="",$I$6&lt;&gt;"Complete"),"",IF(K438&lt;0,1,0))</x:f>
      </x:c>
    </x:row>
    <x:row r="439" ht="23" customHeight="1">
      <x:c r="A439" s="2"/>
      <x:c r="B439" s="60" t="str">
        <x:f>IF($D$6&lt;&gt;"Complete","",IF('Inputs'!$C$47+369&lt;=$D$9,'Inputs'!$C$47+369,""))</x:f>
      </x:c>
      <x:c r="C439" s="37" t="str">
        <x:f>IF(B439="","",SUMIFS($D$14:$D$23,$C$14:$C$23,B439))</x:f>
      </x:c>
      <x:c r="D439" s="37" t="str">
        <x:f>IF(B439="","",SUMIFS($E$14:$E$23,$C$14:$C$23,B439))</x:f>
      </x:c>
      <x:c r="E439" s="37" t="str">
        <x:f>IF(B439="","",C439-D439)</x:f>
      </x:c>
      <x:c r="F439" s="37" t="str">
        <x:f>IF(B439="","",F438+E439)</x:f>
      </x:c>
      <x:c r="G439" s="37" t="str">
        <x:f>IF(OR(B439="",$I$6&lt;&gt;"Complete"),"",SUMIFS($D$32:$D$51,$C$32:$C$51,B439,$I$32:$I$51,"Ready"))</x:f>
      </x:c>
      <x:c r="H439" s="37" t="str">
        <x:f>IF(OR(B439="",$I$6&lt;&gt;"Complete"),"",SUMIFS($E$32:$E$51,$C$32:$C$51,B439,$I$32:$I$51,"Ready"))</x:f>
      </x:c>
      <x:c r="I439" s="37" t="str">
        <x:f>IF(OR(B439="",$I$6&lt;&gt;"Complete"),"",I438+E439+G439-H439)</x:f>
      </x:c>
      <x:c r="J439" s="37" t="str">
        <x:f>IF(OR(B439="",$I$6&lt;&gt;"Complete"),"",'Inputs'!$C$49)</x:f>
      </x:c>
      <x:c r="K439" s="37" t="str">
        <x:f>IF(OR(B439="",$I$6&lt;&gt;"Complete"),"",I439-J439)</x:f>
      </x:c>
      <x:c r="L439" s="61" t="str">
        <x:f>IF(OR(B439="",$I$6&lt;&gt;"Complete"),"",IF(K439&lt;0,1,0))</x:f>
      </x:c>
    </x:row>
    <x:row r="440" ht="23" customHeight="1">
      <x:c r="A440" s="2"/>
      <x:c r="B440" s="60" t="str">
        <x:f>IF($D$6&lt;&gt;"Complete","",IF('Inputs'!$C$47+370&lt;=$D$9,'Inputs'!$C$47+370,""))</x:f>
      </x:c>
      <x:c r="C440" s="37" t="str">
        <x:f>IF(B440="","",SUMIFS($D$14:$D$23,$C$14:$C$23,B440))</x:f>
      </x:c>
      <x:c r="D440" s="37" t="str">
        <x:f>IF(B440="","",SUMIFS($E$14:$E$23,$C$14:$C$23,B440))</x:f>
      </x:c>
      <x:c r="E440" s="37" t="str">
        <x:f>IF(B440="","",C440-D440)</x:f>
      </x:c>
      <x:c r="F440" s="37" t="str">
        <x:f>IF(B440="","",F439+E440)</x:f>
      </x:c>
      <x:c r="G440" s="37" t="str">
        <x:f>IF(OR(B440="",$I$6&lt;&gt;"Complete"),"",SUMIFS($D$32:$D$51,$C$32:$C$51,B440,$I$32:$I$51,"Ready"))</x:f>
      </x:c>
      <x:c r="H440" s="37" t="str">
        <x:f>IF(OR(B440="",$I$6&lt;&gt;"Complete"),"",SUMIFS($E$32:$E$51,$C$32:$C$51,B440,$I$32:$I$51,"Ready"))</x:f>
      </x:c>
      <x:c r="I440" s="37" t="str">
        <x:f>IF(OR(B440="",$I$6&lt;&gt;"Complete"),"",I439+E440+G440-H440)</x:f>
      </x:c>
      <x:c r="J440" s="37" t="str">
        <x:f>IF(OR(B440="",$I$6&lt;&gt;"Complete"),"",'Inputs'!$C$49)</x:f>
      </x:c>
      <x:c r="K440" s="37" t="str">
        <x:f>IF(OR(B440="",$I$6&lt;&gt;"Complete"),"",I440-J440)</x:f>
      </x:c>
      <x:c r="L440" s="61" t="str">
        <x:f>IF(OR(B440="",$I$6&lt;&gt;"Complete"),"",IF(K440&lt;0,1,0))</x:f>
      </x:c>
    </x:row>
    <x:row r="441" ht="23" customHeight="1">
      <x:c r="A441" s="2"/>
      <x:c r="B441" s="60" t="str">
        <x:f>IF($D$6&lt;&gt;"Complete","",IF('Inputs'!$C$47+371&lt;=$D$9,'Inputs'!$C$47+371,""))</x:f>
      </x:c>
      <x:c r="C441" s="37" t="str">
        <x:f>IF(B441="","",SUMIFS($D$14:$D$23,$C$14:$C$23,B441))</x:f>
      </x:c>
      <x:c r="D441" s="37" t="str">
        <x:f>IF(B441="","",SUMIFS($E$14:$E$23,$C$14:$C$23,B441))</x:f>
      </x:c>
      <x:c r="E441" s="37" t="str">
        <x:f>IF(B441="","",C441-D441)</x:f>
      </x:c>
      <x:c r="F441" s="37" t="str">
        <x:f>IF(B441="","",F440+E441)</x:f>
      </x:c>
      <x:c r="G441" s="37" t="str">
        <x:f>IF(OR(B441="",$I$6&lt;&gt;"Complete"),"",SUMIFS($D$32:$D$51,$C$32:$C$51,B441,$I$32:$I$51,"Ready"))</x:f>
      </x:c>
      <x:c r="H441" s="37" t="str">
        <x:f>IF(OR(B441="",$I$6&lt;&gt;"Complete"),"",SUMIFS($E$32:$E$51,$C$32:$C$51,B441,$I$32:$I$51,"Ready"))</x:f>
      </x:c>
      <x:c r="I441" s="37" t="str">
        <x:f>IF(OR(B441="",$I$6&lt;&gt;"Complete"),"",I440+E441+G441-H441)</x:f>
      </x:c>
      <x:c r="J441" s="37" t="str">
        <x:f>IF(OR(B441="",$I$6&lt;&gt;"Complete"),"",'Inputs'!$C$49)</x:f>
      </x:c>
      <x:c r="K441" s="37" t="str">
        <x:f>IF(OR(B441="",$I$6&lt;&gt;"Complete"),"",I441-J441)</x:f>
      </x:c>
      <x:c r="L441" s="61" t="str">
        <x:f>IF(OR(B441="",$I$6&lt;&gt;"Complete"),"",IF(K441&lt;0,1,0))</x:f>
      </x:c>
    </x:row>
    <x:row r="442" ht="23" customHeight="1">
      <x:c r="A442" s="2"/>
      <x:c r="B442" s="60" t="str">
        <x:f>IF($D$6&lt;&gt;"Complete","",IF('Inputs'!$C$47+372&lt;=$D$9,'Inputs'!$C$47+372,""))</x:f>
      </x:c>
      <x:c r="C442" s="37" t="str">
        <x:f>IF(B442="","",SUMIFS($D$14:$D$23,$C$14:$C$23,B442))</x:f>
      </x:c>
      <x:c r="D442" s="37" t="str">
        <x:f>IF(B442="","",SUMIFS($E$14:$E$23,$C$14:$C$23,B442))</x:f>
      </x:c>
      <x:c r="E442" s="37" t="str">
        <x:f>IF(B442="","",C442-D442)</x:f>
      </x:c>
      <x:c r="F442" s="37" t="str">
        <x:f>IF(B442="","",F441+E442)</x:f>
      </x:c>
      <x:c r="G442" s="37" t="str">
        <x:f>IF(OR(B442="",$I$6&lt;&gt;"Complete"),"",SUMIFS($D$32:$D$51,$C$32:$C$51,B442,$I$32:$I$51,"Ready"))</x:f>
      </x:c>
      <x:c r="H442" s="37" t="str">
        <x:f>IF(OR(B442="",$I$6&lt;&gt;"Complete"),"",SUMIFS($E$32:$E$51,$C$32:$C$51,B442,$I$32:$I$51,"Ready"))</x:f>
      </x:c>
      <x:c r="I442" s="37" t="str">
        <x:f>IF(OR(B442="",$I$6&lt;&gt;"Complete"),"",I441+E442+G442-H442)</x:f>
      </x:c>
      <x:c r="J442" s="37" t="str">
        <x:f>IF(OR(B442="",$I$6&lt;&gt;"Complete"),"",'Inputs'!$C$49)</x:f>
      </x:c>
      <x:c r="K442" s="37" t="str">
        <x:f>IF(OR(B442="",$I$6&lt;&gt;"Complete"),"",I442-J442)</x:f>
      </x:c>
      <x:c r="L442" s="61" t="str">
        <x:f>IF(OR(B442="",$I$6&lt;&gt;"Complete"),"",IF(K442&lt;0,1,0))</x:f>
      </x:c>
    </x:row>
    <x:row r="443" ht="23" customHeight="1">
      <x:c r="A443" s="2"/>
      <x:c r="B443" s="60" t="str">
        <x:f>IF($D$6&lt;&gt;"Complete","",IF('Inputs'!$C$47+373&lt;=$D$9,'Inputs'!$C$47+373,""))</x:f>
      </x:c>
      <x:c r="C443" s="37" t="str">
        <x:f>IF(B443="","",SUMIFS($D$14:$D$23,$C$14:$C$23,B443))</x:f>
      </x:c>
      <x:c r="D443" s="37" t="str">
        <x:f>IF(B443="","",SUMIFS($E$14:$E$23,$C$14:$C$23,B443))</x:f>
      </x:c>
      <x:c r="E443" s="37" t="str">
        <x:f>IF(B443="","",C443-D443)</x:f>
      </x:c>
      <x:c r="F443" s="37" t="str">
        <x:f>IF(B443="","",F442+E443)</x:f>
      </x:c>
      <x:c r="G443" s="37" t="str">
        <x:f>IF(OR(B443="",$I$6&lt;&gt;"Complete"),"",SUMIFS($D$32:$D$51,$C$32:$C$51,B443,$I$32:$I$51,"Ready"))</x:f>
      </x:c>
      <x:c r="H443" s="37" t="str">
        <x:f>IF(OR(B443="",$I$6&lt;&gt;"Complete"),"",SUMIFS($E$32:$E$51,$C$32:$C$51,B443,$I$32:$I$51,"Ready"))</x:f>
      </x:c>
      <x:c r="I443" s="37" t="str">
        <x:f>IF(OR(B443="",$I$6&lt;&gt;"Complete"),"",I442+E443+G443-H443)</x:f>
      </x:c>
      <x:c r="J443" s="37" t="str">
        <x:f>IF(OR(B443="",$I$6&lt;&gt;"Complete"),"",'Inputs'!$C$49)</x:f>
      </x:c>
      <x:c r="K443" s="37" t="str">
        <x:f>IF(OR(B443="",$I$6&lt;&gt;"Complete"),"",I443-J443)</x:f>
      </x:c>
      <x:c r="L443" s="61" t="str">
        <x:f>IF(OR(B443="",$I$6&lt;&gt;"Complete"),"",IF(K443&lt;0,1,0))</x:f>
      </x:c>
    </x:row>
    <x:row r="444" ht="23" customHeight="1">
      <x:c r="A444" s="2"/>
      <x:c r="B444" s="60" t="str">
        <x:f>IF($D$6&lt;&gt;"Complete","",IF('Inputs'!$C$47+374&lt;=$D$9,'Inputs'!$C$47+374,""))</x:f>
      </x:c>
      <x:c r="C444" s="37" t="str">
        <x:f>IF(B444="","",SUMIFS($D$14:$D$23,$C$14:$C$23,B444))</x:f>
      </x:c>
      <x:c r="D444" s="37" t="str">
        <x:f>IF(B444="","",SUMIFS($E$14:$E$23,$C$14:$C$23,B444))</x:f>
      </x:c>
      <x:c r="E444" s="37" t="str">
        <x:f>IF(B444="","",C444-D444)</x:f>
      </x:c>
      <x:c r="F444" s="37" t="str">
        <x:f>IF(B444="","",F443+E444)</x:f>
      </x:c>
      <x:c r="G444" s="37" t="str">
        <x:f>IF(OR(B444="",$I$6&lt;&gt;"Complete"),"",SUMIFS($D$32:$D$51,$C$32:$C$51,B444,$I$32:$I$51,"Ready"))</x:f>
      </x:c>
      <x:c r="H444" s="37" t="str">
        <x:f>IF(OR(B444="",$I$6&lt;&gt;"Complete"),"",SUMIFS($E$32:$E$51,$C$32:$C$51,B444,$I$32:$I$51,"Ready"))</x:f>
      </x:c>
      <x:c r="I444" s="37" t="str">
        <x:f>IF(OR(B444="",$I$6&lt;&gt;"Complete"),"",I443+E444+G444-H444)</x:f>
      </x:c>
      <x:c r="J444" s="37" t="str">
        <x:f>IF(OR(B444="",$I$6&lt;&gt;"Complete"),"",'Inputs'!$C$49)</x:f>
      </x:c>
      <x:c r="K444" s="37" t="str">
        <x:f>IF(OR(B444="",$I$6&lt;&gt;"Complete"),"",I444-J444)</x:f>
      </x:c>
      <x:c r="L444" s="61" t="str">
        <x:f>IF(OR(B444="",$I$6&lt;&gt;"Complete"),"",IF(K444&lt;0,1,0))</x:f>
      </x:c>
    </x:row>
    <x:row r="445" ht="23" customHeight="1">
      <x:c r="A445" s="2"/>
      <x:c r="B445" s="60" t="str">
        <x:f>IF($D$6&lt;&gt;"Complete","",IF('Inputs'!$C$47+375&lt;=$D$9,'Inputs'!$C$47+375,""))</x:f>
      </x:c>
      <x:c r="C445" s="37" t="str">
        <x:f>IF(B445="","",SUMIFS($D$14:$D$23,$C$14:$C$23,B445))</x:f>
      </x:c>
      <x:c r="D445" s="37" t="str">
        <x:f>IF(B445="","",SUMIFS($E$14:$E$23,$C$14:$C$23,B445))</x:f>
      </x:c>
      <x:c r="E445" s="37" t="str">
        <x:f>IF(B445="","",C445-D445)</x:f>
      </x:c>
      <x:c r="F445" s="37" t="str">
        <x:f>IF(B445="","",F444+E445)</x:f>
      </x:c>
      <x:c r="G445" s="37" t="str">
        <x:f>IF(OR(B445="",$I$6&lt;&gt;"Complete"),"",SUMIFS($D$32:$D$51,$C$32:$C$51,B445,$I$32:$I$51,"Ready"))</x:f>
      </x:c>
      <x:c r="H445" s="37" t="str">
        <x:f>IF(OR(B445="",$I$6&lt;&gt;"Complete"),"",SUMIFS($E$32:$E$51,$C$32:$C$51,B445,$I$32:$I$51,"Ready"))</x:f>
      </x:c>
      <x:c r="I445" s="37" t="str">
        <x:f>IF(OR(B445="",$I$6&lt;&gt;"Complete"),"",I444+E445+G445-H445)</x:f>
      </x:c>
      <x:c r="J445" s="37" t="str">
        <x:f>IF(OR(B445="",$I$6&lt;&gt;"Complete"),"",'Inputs'!$C$49)</x:f>
      </x:c>
      <x:c r="K445" s="37" t="str">
        <x:f>IF(OR(B445="",$I$6&lt;&gt;"Complete"),"",I445-J445)</x:f>
      </x:c>
      <x:c r="L445" s="61" t="str">
        <x:f>IF(OR(B445="",$I$6&lt;&gt;"Complete"),"",IF(K445&lt;0,1,0))</x:f>
      </x:c>
    </x:row>
    <x:row r="446" ht="23" customHeight="1">
      <x:c r="A446" s="2"/>
      <x:c r="B446" s="60" t="str">
        <x:f>IF($D$6&lt;&gt;"Complete","",IF('Inputs'!$C$47+376&lt;=$D$9,'Inputs'!$C$47+376,""))</x:f>
      </x:c>
      <x:c r="C446" s="37" t="str">
        <x:f>IF(B446="","",SUMIFS($D$14:$D$23,$C$14:$C$23,B446))</x:f>
      </x:c>
      <x:c r="D446" s="37" t="str">
        <x:f>IF(B446="","",SUMIFS($E$14:$E$23,$C$14:$C$23,B446))</x:f>
      </x:c>
      <x:c r="E446" s="37" t="str">
        <x:f>IF(B446="","",C446-D446)</x:f>
      </x:c>
      <x:c r="F446" s="37" t="str">
        <x:f>IF(B446="","",F445+E446)</x:f>
      </x:c>
      <x:c r="G446" s="37" t="str">
        <x:f>IF(OR(B446="",$I$6&lt;&gt;"Complete"),"",SUMIFS($D$32:$D$51,$C$32:$C$51,B446,$I$32:$I$51,"Ready"))</x:f>
      </x:c>
      <x:c r="H446" s="37" t="str">
        <x:f>IF(OR(B446="",$I$6&lt;&gt;"Complete"),"",SUMIFS($E$32:$E$51,$C$32:$C$51,B446,$I$32:$I$51,"Ready"))</x:f>
      </x:c>
      <x:c r="I446" s="37" t="str">
        <x:f>IF(OR(B446="",$I$6&lt;&gt;"Complete"),"",I445+E446+G446-H446)</x:f>
      </x:c>
      <x:c r="J446" s="37" t="str">
        <x:f>IF(OR(B446="",$I$6&lt;&gt;"Complete"),"",'Inputs'!$C$49)</x:f>
      </x:c>
      <x:c r="K446" s="37" t="str">
        <x:f>IF(OR(B446="",$I$6&lt;&gt;"Complete"),"",I446-J446)</x:f>
      </x:c>
      <x:c r="L446" s="61" t="str">
        <x:f>IF(OR(B446="",$I$6&lt;&gt;"Complete"),"",IF(K446&lt;0,1,0))</x:f>
      </x:c>
    </x:row>
    <x:row r="447" ht="23" customHeight="1">
      <x:c r="A447" s="2"/>
      <x:c r="B447" s="60" t="str">
        <x:f>IF($D$6&lt;&gt;"Complete","",IF('Inputs'!$C$47+377&lt;=$D$9,'Inputs'!$C$47+377,""))</x:f>
      </x:c>
      <x:c r="C447" s="37" t="str">
        <x:f>IF(B447="","",SUMIFS($D$14:$D$23,$C$14:$C$23,B447))</x:f>
      </x:c>
      <x:c r="D447" s="37" t="str">
        <x:f>IF(B447="","",SUMIFS($E$14:$E$23,$C$14:$C$23,B447))</x:f>
      </x:c>
      <x:c r="E447" s="37" t="str">
        <x:f>IF(B447="","",C447-D447)</x:f>
      </x:c>
      <x:c r="F447" s="37" t="str">
        <x:f>IF(B447="","",F446+E447)</x:f>
      </x:c>
      <x:c r="G447" s="37" t="str">
        <x:f>IF(OR(B447="",$I$6&lt;&gt;"Complete"),"",SUMIFS($D$32:$D$51,$C$32:$C$51,B447,$I$32:$I$51,"Ready"))</x:f>
      </x:c>
      <x:c r="H447" s="37" t="str">
        <x:f>IF(OR(B447="",$I$6&lt;&gt;"Complete"),"",SUMIFS($E$32:$E$51,$C$32:$C$51,B447,$I$32:$I$51,"Ready"))</x:f>
      </x:c>
      <x:c r="I447" s="37" t="str">
        <x:f>IF(OR(B447="",$I$6&lt;&gt;"Complete"),"",I446+E447+G447-H447)</x:f>
      </x:c>
      <x:c r="J447" s="37" t="str">
        <x:f>IF(OR(B447="",$I$6&lt;&gt;"Complete"),"",'Inputs'!$C$49)</x:f>
      </x:c>
      <x:c r="K447" s="37" t="str">
        <x:f>IF(OR(B447="",$I$6&lt;&gt;"Complete"),"",I447-J447)</x:f>
      </x:c>
      <x:c r="L447" s="61" t="str">
        <x:f>IF(OR(B447="",$I$6&lt;&gt;"Complete"),"",IF(K447&lt;0,1,0))</x:f>
      </x:c>
    </x:row>
    <x:row r="448" ht="23" customHeight="1">
      <x:c r="A448" s="2"/>
      <x:c r="B448" s="60" t="str">
        <x:f>IF($D$6&lt;&gt;"Complete","",IF('Inputs'!$C$47+378&lt;=$D$9,'Inputs'!$C$47+378,""))</x:f>
      </x:c>
      <x:c r="C448" s="37" t="str">
        <x:f>IF(B448="","",SUMIFS($D$14:$D$23,$C$14:$C$23,B448))</x:f>
      </x:c>
      <x:c r="D448" s="37" t="str">
        <x:f>IF(B448="","",SUMIFS($E$14:$E$23,$C$14:$C$23,B448))</x:f>
      </x:c>
      <x:c r="E448" s="37" t="str">
        <x:f>IF(B448="","",C448-D448)</x:f>
      </x:c>
      <x:c r="F448" s="37" t="str">
        <x:f>IF(B448="","",F447+E448)</x:f>
      </x:c>
      <x:c r="G448" s="37" t="str">
        <x:f>IF(OR(B448="",$I$6&lt;&gt;"Complete"),"",SUMIFS($D$32:$D$51,$C$32:$C$51,B448,$I$32:$I$51,"Ready"))</x:f>
      </x:c>
      <x:c r="H448" s="37" t="str">
        <x:f>IF(OR(B448="",$I$6&lt;&gt;"Complete"),"",SUMIFS($E$32:$E$51,$C$32:$C$51,B448,$I$32:$I$51,"Ready"))</x:f>
      </x:c>
      <x:c r="I448" s="37" t="str">
        <x:f>IF(OR(B448="",$I$6&lt;&gt;"Complete"),"",I447+E448+G448-H448)</x:f>
      </x:c>
      <x:c r="J448" s="37" t="str">
        <x:f>IF(OR(B448="",$I$6&lt;&gt;"Complete"),"",'Inputs'!$C$49)</x:f>
      </x:c>
      <x:c r="K448" s="37" t="str">
        <x:f>IF(OR(B448="",$I$6&lt;&gt;"Complete"),"",I448-J448)</x:f>
      </x:c>
      <x:c r="L448" s="61" t="str">
        <x:f>IF(OR(B448="",$I$6&lt;&gt;"Complete"),"",IF(K448&lt;0,1,0))</x:f>
      </x:c>
    </x:row>
    <x:row r="449" ht="23" customHeight="1">
      <x:c r="A449" s="2"/>
      <x:c r="B449" s="60" t="str">
        <x:f>IF($D$6&lt;&gt;"Complete","",IF('Inputs'!$C$47+379&lt;=$D$9,'Inputs'!$C$47+379,""))</x:f>
      </x:c>
      <x:c r="C449" s="37" t="str">
        <x:f>IF(B449="","",SUMIFS($D$14:$D$23,$C$14:$C$23,B449))</x:f>
      </x:c>
      <x:c r="D449" s="37" t="str">
        <x:f>IF(B449="","",SUMIFS($E$14:$E$23,$C$14:$C$23,B449))</x:f>
      </x:c>
      <x:c r="E449" s="37" t="str">
        <x:f>IF(B449="","",C449-D449)</x:f>
      </x:c>
      <x:c r="F449" s="37" t="str">
        <x:f>IF(B449="","",F448+E449)</x:f>
      </x:c>
      <x:c r="G449" s="37" t="str">
        <x:f>IF(OR(B449="",$I$6&lt;&gt;"Complete"),"",SUMIFS($D$32:$D$51,$C$32:$C$51,B449,$I$32:$I$51,"Ready"))</x:f>
      </x:c>
      <x:c r="H449" s="37" t="str">
        <x:f>IF(OR(B449="",$I$6&lt;&gt;"Complete"),"",SUMIFS($E$32:$E$51,$C$32:$C$51,B449,$I$32:$I$51,"Ready"))</x:f>
      </x:c>
      <x:c r="I449" s="37" t="str">
        <x:f>IF(OR(B449="",$I$6&lt;&gt;"Complete"),"",I448+E449+G449-H449)</x:f>
      </x:c>
      <x:c r="J449" s="37" t="str">
        <x:f>IF(OR(B449="",$I$6&lt;&gt;"Complete"),"",'Inputs'!$C$49)</x:f>
      </x:c>
      <x:c r="K449" s="37" t="str">
        <x:f>IF(OR(B449="",$I$6&lt;&gt;"Complete"),"",I449-J449)</x:f>
      </x:c>
      <x:c r="L449" s="61" t="str">
        <x:f>IF(OR(B449="",$I$6&lt;&gt;"Complete"),"",IF(K449&lt;0,1,0))</x:f>
      </x:c>
    </x:row>
    <x:row r="450" ht="23" customHeight="1">
      <x:c r="A450" s="2"/>
      <x:c r="B450" s="60" t="str">
        <x:f>IF($D$6&lt;&gt;"Complete","",IF('Inputs'!$C$47+380&lt;=$D$9,'Inputs'!$C$47+380,""))</x:f>
      </x:c>
      <x:c r="C450" s="37" t="str">
        <x:f>IF(B450="","",SUMIFS($D$14:$D$23,$C$14:$C$23,B450))</x:f>
      </x:c>
      <x:c r="D450" s="37" t="str">
        <x:f>IF(B450="","",SUMIFS($E$14:$E$23,$C$14:$C$23,B450))</x:f>
      </x:c>
      <x:c r="E450" s="37" t="str">
        <x:f>IF(B450="","",C450-D450)</x:f>
      </x:c>
      <x:c r="F450" s="37" t="str">
        <x:f>IF(B450="","",F449+E450)</x:f>
      </x:c>
      <x:c r="G450" s="37" t="str">
        <x:f>IF(OR(B450="",$I$6&lt;&gt;"Complete"),"",SUMIFS($D$32:$D$51,$C$32:$C$51,B450,$I$32:$I$51,"Ready"))</x:f>
      </x:c>
      <x:c r="H450" s="37" t="str">
        <x:f>IF(OR(B450="",$I$6&lt;&gt;"Complete"),"",SUMIFS($E$32:$E$51,$C$32:$C$51,B450,$I$32:$I$51,"Ready"))</x:f>
      </x:c>
      <x:c r="I450" s="37" t="str">
        <x:f>IF(OR(B450="",$I$6&lt;&gt;"Complete"),"",I449+E450+G450-H450)</x:f>
      </x:c>
      <x:c r="J450" s="37" t="str">
        <x:f>IF(OR(B450="",$I$6&lt;&gt;"Complete"),"",'Inputs'!$C$49)</x:f>
      </x:c>
      <x:c r="K450" s="37" t="str">
        <x:f>IF(OR(B450="",$I$6&lt;&gt;"Complete"),"",I450-J450)</x:f>
      </x:c>
      <x:c r="L450" s="61" t="str">
        <x:f>IF(OR(B450="",$I$6&lt;&gt;"Complete"),"",IF(K450&lt;0,1,0))</x:f>
      </x:c>
    </x:row>
    <x:row r="451" ht="23" customHeight="1">
      <x:c r="A451" s="2"/>
      <x:c r="B451" s="60" t="str">
        <x:f>IF($D$6&lt;&gt;"Complete","",IF('Inputs'!$C$47+381&lt;=$D$9,'Inputs'!$C$47+381,""))</x:f>
      </x:c>
      <x:c r="C451" s="37" t="str">
        <x:f>IF(B451="","",SUMIFS($D$14:$D$23,$C$14:$C$23,B451))</x:f>
      </x:c>
      <x:c r="D451" s="37" t="str">
        <x:f>IF(B451="","",SUMIFS($E$14:$E$23,$C$14:$C$23,B451))</x:f>
      </x:c>
      <x:c r="E451" s="37" t="str">
        <x:f>IF(B451="","",C451-D451)</x:f>
      </x:c>
      <x:c r="F451" s="37" t="str">
        <x:f>IF(B451="","",F450+E451)</x:f>
      </x:c>
      <x:c r="G451" s="37" t="str">
        <x:f>IF(OR(B451="",$I$6&lt;&gt;"Complete"),"",SUMIFS($D$32:$D$51,$C$32:$C$51,B451,$I$32:$I$51,"Ready"))</x:f>
      </x:c>
      <x:c r="H451" s="37" t="str">
        <x:f>IF(OR(B451="",$I$6&lt;&gt;"Complete"),"",SUMIFS($E$32:$E$51,$C$32:$C$51,B451,$I$32:$I$51,"Ready"))</x:f>
      </x:c>
      <x:c r="I451" s="37" t="str">
        <x:f>IF(OR(B451="",$I$6&lt;&gt;"Complete"),"",I450+E451+G451-H451)</x:f>
      </x:c>
      <x:c r="J451" s="37" t="str">
        <x:f>IF(OR(B451="",$I$6&lt;&gt;"Complete"),"",'Inputs'!$C$49)</x:f>
      </x:c>
      <x:c r="K451" s="37" t="str">
        <x:f>IF(OR(B451="",$I$6&lt;&gt;"Complete"),"",I451-J451)</x:f>
      </x:c>
      <x:c r="L451" s="61" t="str">
        <x:f>IF(OR(B451="",$I$6&lt;&gt;"Complete"),"",IF(K451&lt;0,1,0))</x:f>
      </x:c>
    </x:row>
    <x:row r="452" ht="23" customHeight="1">
      <x:c r="A452" s="2"/>
      <x:c r="B452" s="60" t="str">
        <x:f>IF($D$6&lt;&gt;"Complete","",IF('Inputs'!$C$47+382&lt;=$D$9,'Inputs'!$C$47+382,""))</x:f>
      </x:c>
      <x:c r="C452" s="37" t="str">
        <x:f>IF(B452="","",SUMIFS($D$14:$D$23,$C$14:$C$23,B452))</x:f>
      </x:c>
      <x:c r="D452" s="37" t="str">
        <x:f>IF(B452="","",SUMIFS($E$14:$E$23,$C$14:$C$23,B452))</x:f>
      </x:c>
      <x:c r="E452" s="37" t="str">
        <x:f>IF(B452="","",C452-D452)</x:f>
      </x:c>
      <x:c r="F452" s="37" t="str">
        <x:f>IF(B452="","",F451+E452)</x:f>
      </x:c>
      <x:c r="G452" s="37" t="str">
        <x:f>IF(OR(B452="",$I$6&lt;&gt;"Complete"),"",SUMIFS($D$32:$D$51,$C$32:$C$51,B452,$I$32:$I$51,"Ready"))</x:f>
      </x:c>
      <x:c r="H452" s="37" t="str">
        <x:f>IF(OR(B452="",$I$6&lt;&gt;"Complete"),"",SUMIFS($E$32:$E$51,$C$32:$C$51,B452,$I$32:$I$51,"Ready"))</x:f>
      </x:c>
      <x:c r="I452" s="37" t="str">
        <x:f>IF(OR(B452="",$I$6&lt;&gt;"Complete"),"",I451+E452+G452-H452)</x:f>
      </x:c>
      <x:c r="J452" s="37" t="str">
        <x:f>IF(OR(B452="",$I$6&lt;&gt;"Complete"),"",'Inputs'!$C$49)</x:f>
      </x:c>
      <x:c r="K452" s="37" t="str">
        <x:f>IF(OR(B452="",$I$6&lt;&gt;"Complete"),"",I452-J452)</x:f>
      </x:c>
      <x:c r="L452" s="61" t="str">
        <x:f>IF(OR(B452="",$I$6&lt;&gt;"Complete"),"",IF(K452&lt;0,1,0))</x:f>
      </x:c>
    </x:row>
    <x:row r="453" ht="23" customHeight="1">
      <x:c r="A453" s="2"/>
      <x:c r="B453" s="60" t="str">
        <x:f>IF($D$6&lt;&gt;"Complete","",IF('Inputs'!$C$47+383&lt;=$D$9,'Inputs'!$C$47+383,""))</x:f>
      </x:c>
      <x:c r="C453" s="37" t="str">
        <x:f>IF(B453="","",SUMIFS($D$14:$D$23,$C$14:$C$23,B453))</x:f>
      </x:c>
      <x:c r="D453" s="37" t="str">
        <x:f>IF(B453="","",SUMIFS($E$14:$E$23,$C$14:$C$23,B453))</x:f>
      </x:c>
      <x:c r="E453" s="37" t="str">
        <x:f>IF(B453="","",C453-D453)</x:f>
      </x:c>
      <x:c r="F453" s="37" t="str">
        <x:f>IF(B453="","",F452+E453)</x:f>
      </x:c>
      <x:c r="G453" s="37" t="str">
        <x:f>IF(OR(B453="",$I$6&lt;&gt;"Complete"),"",SUMIFS($D$32:$D$51,$C$32:$C$51,B453,$I$32:$I$51,"Ready"))</x:f>
      </x:c>
      <x:c r="H453" s="37" t="str">
        <x:f>IF(OR(B453="",$I$6&lt;&gt;"Complete"),"",SUMIFS($E$32:$E$51,$C$32:$C$51,B453,$I$32:$I$51,"Ready"))</x:f>
      </x:c>
      <x:c r="I453" s="37" t="str">
        <x:f>IF(OR(B453="",$I$6&lt;&gt;"Complete"),"",I452+E453+G453-H453)</x:f>
      </x:c>
      <x:c r="J453" s="37" t="str">
        <x:f>IF(OR(B453="",$I$6&lt;&gt;"Complete"),"",'Inputs'!$C$49)</x:f>
      </x:c>
      <x:c r="K453" s="37" t="str">
        <x:f>IF(OR(B453="",$I$6&lt;&gt;"Complete"),"",I453-J453)</x:f>
      </x:c>
      <x:c r="L453" s="61" t="str">
        <x:f>IF(OR(B453="",$I$6&lt;&gt;"Complete"),"",IF(K453&lt;0,1,0))</x:f>
      </x:c>
    </x:row>
    <x:row r="454" ht="23" customHeight="1">
      <x:c r="A454" s="2"/>
      <x:c r="B454" s="60" t="str">
        <x:f>IF($D$6&lt;&gt;"Complete","",IF('Inputs'!$C$47+384&lt;=$D$9,'Inputs'!$C$47+384,""))</x:f>
      </x:c>
      <x:c r="C454" s="37" t="str">
        <x:f>IF(B454="","",SUMIFS($D$14:$D$23,$C$14:$C$23,B454))</x:f>
      </x:c>
      <x:c r="D454" s="37" t="str">
        <x:f>IF(B454="","",SUMIFS($E$14:$E$23,$C$14:$C$23,B454))</x:f>
      </x:c>
      <x:c r="E454" s="37" t="str">
        <x:f>IF(B454="","",C454-D454)</x:f>
      </x:c>
      <x:c r="F454" s="37" t="str">
        <x:f>IF(B454="","",F453+E454)</x:f>
      </x:c>
      <x:c r="G454" s="37" t="str">
        <x:f>IF(OR(B454="",$I$6&lt;&gt;"Complete"),"",SUMIFS($D$32:$D$51,$C$32:$C$51,B454,$I$32:$I$51,"Ready"))</x:f>
      </x:c>
      <x:c r="H454" s="37" t="str">
        <x:f>IF(OR(B454="",$I$6&lt;&gt;"Complete"),"",SUMIFS($E$32:$E$51,$C$32:$C$51,B454,$I$32:$I$51,"Ready"))</x:f>
      </x:c>
      <x:c r="I454" s="37" t="str">
        <x:f>IF(OR(B454="",$I$6&lt;&gt;"Complete"),"",I453+E454+G454-H454)</x:f>
      </x:c>
      <x:c r="J454" s="37" t="str">
        <x:f>IF(OR(B454="",$I$6&lt;&gt;"Complete"),"",'Inputs'!$C$49)</x:f>
      </x:c>
      <x:c r="K454" s="37" t="str">
        <x:f>IF(OR(B454="",$I$6&lt;&gt;"Complete"),"",I454-J454)</x:f>
      </x:c>
      <x:c r="L454" s="61" t="str">
        <x:f>IF(OR(B454="",$I$6&lt;&gt;"Complete"),"",IF(K454&lt;0,1,0))</x:f>
      </x:c>
    </x:row>
    <x:row r="455" ht="23" customHeight="1">
      <x:c r="A455" s="2"/>
      <x:c r="B455" s="60" t="str">
        <x:f>IF($D$6&lt;&gt;"Complete","",IF('Inputs'!$C$47+385&lt;=$D$9,'Inputs'!$C$47+385,""))</x:f>
      </x:c>
      <x:c r="C455" s="37" t="str">
        <x:f>IF(B455="","",SUMIFS($D$14:$D$23,$C$14:$C$23,B455))</x:f>
      </x:c>
      <x:c r="D455" s="37" t="str">
        <x:f>IF(B455="","",SUMIFS($E$14:$E$23,$C$14:$C$23,B455))</x:f>
      </x:c>
      <x:c r="E455" s="37" t="str">
        <x:f>IF(B455="","",C455-D455)</x:f>
      </x:c>
      <x:c r="F455" s="37" t="str">
        <x:f>IF(B455="","",F454+E455)</x:f>
      </x:c>
      <x:c r="G455" s="37" t="str">
        <x:f>IF(OR(B455="",$I$6&lt;&gt;"Complete"),"",SUMIFS($D$32:$D$51,$C$32:$C$51,B455,$I$32:$I$51,"Ready"))</x:f>
      </x:c>
      <x:c r="H455" s="37" t="str">
        <x:f>IF(OR(B455="",$I$6&lt;&gt;"Complete"),"",SUMIFS($E$32:$E$51,$C$32:$C$51,B455,$I$32:$I$51,"Ready"))</x:f>
      </x:c>
      <x:c r="I455" s="37" t="str">
        <x:f>IF(OR(B455="",$I$6&lt;&gt;"Complete"),"",I454+E455+G455-H455)</x:f>
      </x:c>
      <x:c r="J455" s="37" t="str">
        <x:f>IF(OR(B455="",$I$6&lt;&gt;"Complete"),"",'Inputs'!$C$49)</x:f>
      </x:c>
      <x:c r="K455" s="37" t="str">
        <x:f>IF(OR(B455="",$I$6&lt;&gt;"Complete"),"",I455-J455)</x:f>
      </x:c>
      <x:c r="L455" s="61" t="str">
        <x:f>IF(OR(B455="",$I$6&lt;&gt;"Complete"),"",IF(K455&lt;0,1,0))</x:f>
      </x:c>
    </x:row>
    <x:row r="456" ht="23" customHeight="1">
      <x:c r="A456" s="2"/>
      <x:c r="B456" s="60" t="str">
        <x:f>IF($D$6&lt;&gt;"Complete","",IF('Inputs'!$C$47+386&lt;=$D$9,'Inputs'!$C$47+386,""))</x:f>
      </x:c>
      <x:c r="C456" s="37" t="str">
        <x:f>IF(B456="","",SUMIFS($D$14:$D$23,$C$14:$C$23,B456))</x:f>
      </x:c>
      <x:c r="D456" s="37" t="str">
        <x:f>IF(B456="","",SUMIFS($E$14:$E$23,$C$14:$C$23,B456))</x:f>
      </x:c>
      <x:c r="E456" s="37" t="str">
        <x:f>IF(B456="","",C456-D456)</x:f>
      </x:c>
      <x:c r="F456" s="37" t="str">
        <x:f>IF(B456="","",F455+E456)</x:f>
      </x:c>
      <x:c r="G456" s="37" t="str">
        <x:f>IF(OR(B456="",$I$6&lt;&gt;"Complete"),"",SUMIFS($D$32:$D$51,$C$32:$C$51,B456,$I$32:$I$51,"Ready"))</x:f>
      </x:c>
      <x:c r="H456" s="37" t="str">
        <x:f>IF(OR(B456="",$I$6&lt;&gt;"Complete"),"",SUMIFS($E$32:$E$51,$C$32:$C$51,B456,$I$32:$I$51,"Ready"))</x:f>
      </x:c>
      <x:c r="I456" s="37" t="str">
        <x:f>IF(OR(B456="",$I$6&lt;&gt;"Complete"),"",I455+E456+G456-H456)</x:f>
      </x:c>
      <x:c r="J456" s="37" t="str">
        <x:f>IF(OR(B456="",$I$6&lt;&gt;"Complete"),"",'Inputs'!$C$49)</x:f>
      </x:c>
      <x:c r="K456" s="37" t="str">
        <x:f>IF(OR(B456="",$I$6&lt;&gt;"Complete"),"",I456-J456)</x:f>
      </x:c>
      <x:c r="L456" s="61" t="str">
        <x:f>IF(OR(B456="",$I$6&lt;&gt;"Complete"),"",IF(K456&lt;0,1,0))</x:f>
      </x:c>
    </x:row>
    <x:row r="457" ht="23" customHeight="1">
      <x:c r="A457" s="2"/>
      <x:c r="B457" s="60" t="str">
        <x:f>IF($D$6&lt;&gt;"Complete","",IF('Inputs'!$C$47+387&lt;=$D$9,'Inputs'!$C$47+387,""))</x:f>
      </x:c>
      <x:c r="C457" s="37" t="str">
        <x:f>IF(B457="","",SUMIFS($D$14:$D$23,$C$14:$C$23,B457))</x:f>
      </x:c>
      <x:c r="D457" s="37" t="str">
        <x:f>IF(B457="","",SUMIFS($E$14:$E$23,$C$14:$C$23,B457))</x:f>
      </x:c>
      <x:c r="E457" s="37" t="str">
        <x:f>IF(B457="","",C457-D457)</x:f>
      </x:c>
      <x:c r="F457" s="37" t="str">
        <x:f>IF(B457="","",F456+E457)</x:f>
      </x:c>
      <x:c r="G457" s="37" t="str">
        <x:f>IF(OR(B457="",$I$6&lt;&gt;"Complete"),"",SUMIFS($D$32:$D$51,$C$32:$C$51,B457,$I$32:$I$51,"Ready"))</x:f>
      </x:c>
      <x:c r="H457" s="37" t="str">
        <x:f>IF(OR(B457="",$I$6&lt;&gt;"Complete"),"",SUMIFS($E$32:$E$51,$C$32:$C$51,B457,$I$32:$I$51,"Ready"))</x:f>
      </x:c>
      <x:c r="I457" s="37" t="str">
        <x:f>IF(OR(B457="",$I$6&lt;&gt;"Complete"),"",I456+E457+G457-H457)</x:f>
      </x:c>
      <x:c r="J457" s="37" t="str">
        <x:f>IF(OR(B457="",$I$6&lt;&gt;"Complete"),"",'Inputs'!$C$49)</x:f>
      </x:c>
      <x:c r="K457" s="37" t="str">
        <x:f>IF(OR(B457="",$I$6&lt;&gt;"Complete"),"",I457-J457)</x:f>
      </x:c>
      <x:c r="L457" s="61" t="str">
        <x:f>IF(OR(B457="",$I$6&lt;&gt;"Complete"),"",IF(K457&lt;0,1,0))</x:f>
      </x:c>
    </x:row>
    <x:row r="458" ht="23" customHeight="1">
      <x:c r="A458" s="2"/>
      <x:c r="B458" s="60" t="str">
        <x:f>IF($D$6&lt;&gt;"Complete","",IF('Inputs'!$C$47+388&lt;=$D$9,'Inputs'!$C$47+388,""))</x:f>
      </x:c>
      <x:c r="C458" s="37" t="str">
        <x:f>IF(B458="","",SUMIFS($D$14:$D$23,$C$14:$C$23,B458))</x:f>
      </x:c>
      <x:c r="D458" s="37" t="str">
        <x:f>IF(B458="","",SUMIFS($E$14:$E$23,$C$14:$C$23,B458))</x:f>
      </x:c>
      <x:c r="E458" s="37" t="str">
        <x:f>IF(B458="","",C458-D458)</x:f>
      </x:c>
      <x:c r="F458" s="37" t="str">
        <x:f>IF(B458="","",F457+E458)</x:f>
      </x:c>
      <x:c r="G458" s="37" t="str">
        <x:f>IF(OR(B458="",$I$6&lt;&gt;"Complete"),"",SUMIFS($D$32:$D$51,$C$32:$C$51,B458,$I$32:$I$51,"Ready"))</x:f>
      </x:c>
      <x:c r="H458" s="37" t="str">
        <x:f>IF(OR(B458="",$I$6&lt;&gt;"Complete"),"",SUMIFS($E$32:$E$51,$C$32:$C$51,B458,$I$32:$I$51,"Ready"))</x:f>
      </x:c>
      <x:c r="I458" s="37" t="str">
        <x:f>IF(OR(B458="",$I$6&lt;&gt;"Complete"),"",I457+E458+G458-H458)</x:f>
      </x:c>
      <x:c r="J458" s="37" t="str">
        <x:f>IF(OR(B458="",$I$6&lt;&gt;"Complete"),"",'Inputs'!$C$49)</x:f>
      </x:c>
      <x:c r="K458" s="37" t="str">
        <x:f>IF(OR(B458="",$I$6&lt;&gt;"Complete"),"",I458-J458)</x:f>
      </x:c>
      <x:c r="L458" s="61" t="str">
        <x:f>IF(OR(B458="",$I$6&lt;&gt;"Complete"),"",IF(K458&lt;0,1,0))</x:f>
      </x:c>
    </x:row>
    <x:row r="459" ht="23" customHeight="1">
      <x:c r="A459" s="2"/>
      <x:c r="B459" s="60" t="str">
        <x:f>IF($D$6&lt;&gt;"Complete","",IF('Inputs'!$C$47+389&lt;=$D$9,'Inputs'!$C$47+389,""))</x:f>
      </x:c>
      <x:c r="C459" s="37" t="str">
        <x:f>IF(B459="","",SUMIFS($D$14:$D$23,$C$14:$C$23,B459))</x:f>
      </x:c>
      <x:c r="D459" s="37" t="str">
        <x:f>IF(B459="","",SUMIFS($E$14:$E$23,$C$14:$C$23,B459))</x:f>
      </x:c>
      <x:c r="E459" s="37" t="str">
        <x:f>IF(B459="","",C459-D459)</x:f>
      </x:c>
      <x:c r="F459" s="37" t="str">
        <x:f>IF(B459="","",F458+E459)</x:f>
      </x:c>
      <x:c r="G459" s="37" t="str">
        <x:f>IF(OR(B459="",$I$6&lt;&gt;"Complete"),"",SUMIFS($D$32:$D$51,$C$32:$C$51,B459,$I$32:$I$51,"Ready"))</x:f>
      </x:c>
      <x:c r="H459" s="37" t="str">
        <x:f>IF(OR(B459="",$I$6&lt;&gt;"Complete"),"",SUMIFS($E$32:$E$51,$C$32:$C$51,B459,$I$32:$I$51,"Ready"))</x:f>
      </x:c>
      <x:c r="I459" s="37" t="str">
        <x:f>IF(OR(B459="",$I$6&lt;&gt;"Complete"),"",I458+E459+G459-H459)</x:f>
      </x:c>
      <x:c r="J459" s="37" t="str">
        <x:f>IF(OR(B459="",$I$6&lt;&gt;"Complete"),"",'Inputs'!$C$49)</x:f>
      </x:c>
      <x:c r="K459" s="37" t="str">
        <x:f>IF(OR(B459="",$I$6&lt;&gt;"Complete"),"",I459-J459)</x:f>
      </x:c>
      <x:c r="L459" s="61" t="str">
        <x:f>IF(OR(B459="",$I$6&lt;&gt;"Complete"),"",IF(K459&lt;0,1,0))</x:f>
      </x:c>
    </x:row>
    <x:row r="460" ht="23" customHeight="1">
      <x:c r="A460" s="2"/>
      <x:c r="B460" s="60" t="str">
        <x:f>IF($D$6&lt;&gt;"Complete","",IF('Inputs'!$C$47+390&lt;=$D$9,'Inputs'!$C$47+390,""))</x:f>
      </x:c>
      <x:c r="C460" s="37" t="str">
        <x:f>IF(B460="","",SUMIFS($D$14:$D$23,$C$14:$C$23,B460))</x:f>
      </x:c>
      <x:c r="D460" s="37" t="str">
        <x:f>IF(B460="","",SUMIFS($E$14:$E$23,$C$14:$C$23,B460))</x:f>
      </x:c>
      <x:c r="E460" s="37" t="str">
        <x:f>IF(B460="","",C460-D460)</x:f>
      </x:c>
      <x:c r="F460" s="37" t="str">
        <x:f>IF(B460="","",F459+E460)</x:f>
      </x:c>
      <x:c r="G460" s="37" t="str">
        <x:f>IF(OR(B460="",$I$6&lt;&gt;"Complete"),"",SUMIFS($D$32:$D$51,$C$32:$C$51,B460,$I$32:$I$51,"Ready"))</x:f>
      </x:c>
      <x:c r="H460" s="37" t="str">
        <x:f>IF(OR(B460="",$I$6&lt;&gt;"Complete"),"",SUMIFS($E$32:$E$51,$C$32:$C$51,B460,$I$32:$I$51,"Ready"))</x:f>
      </x:c>
      <x:c r="I460" s="37" t="str">
        <x:f>IF(OR(B460="",$I$6&lt;&gt;"Complete"),"",I459+E460+G460-H460)</x:f>
      </x:c>
      <x:c r="J460" s="37" t="str">
        <x:f>IF(OR(B460="",$I$6&lt;&gt;"Complete"),"",'Inputs'!$C$49)</x:f>
      </x:c>
      <x:c r="K460" s="37" t="str">
        <x:f>IF(OR(B460="",$I$6&lt;&gt;"Complete"),"",I460-J460)</x:f>
      </x:c>
      <x:c r="L460" s="61" t="str">
        <x:f>IF(OR(B460="",$I$6&lt;&gt;"Complete"),"",IF(K460&lt;0,1,0))</x:f>
      </x:c>
    </x:row>
    <x:row r="461" ht="23" customHeight="1">
      <x:c r="A461" s="2"/>
      <x:c r="B461" s="60" t="str">
        <x:f>IF($D$6&lt;&gt;"Complete","",IF('Inputs'!$C$47+391&lt;=$D$9,'Inputs'!$C$47+391,""))</x:f>
      </x:c>
      <x:c r="C461" s="37" t="str">
        <x:f>IF(B461="","",SUMIFS($D$14:$D$23,$C$14:$C$23,B461))</x:f>
      </x:c>
      <x:c r="D461" s="37" t="str">
        <x:f>IF(B461="","",SUMIFS($E$14:$E$23,$C$14:$C$23,B461))</x:f>
      </x:c>
      <x:c r="E461" s="37" t="str">
        <x:f>IF(B461="","",C461-D461)</x:f>
      </x:c>
      <x:c r="F461" s="37" t="str">
        <x:f>IF(B461="","",F460+E461)</x:f>
      </x:c>
      <x:c r="G461" s="37" t="str">
        <x:f>IF(OR(B461="",$I$6&lt;&gt;"Complete"),"",SUMIFS($D$32:$D$51,$C$32:$C$51,B461,$I$32:$I$51,"Ready"))</x:f>
      </x:c>
      <x:c r="H461" s="37" t="str">
        <x:f>IF(OR(B461="",$I$6&lt;&gt;"Complete"),"",SUMIFS($E$32:$E$51,$C$32:$C$51,B461,$I$32:$I$51,"Ready"))</x:f>
      </x:c>
      <x:c r="I461" s="37" t="str">
        <x:f>IF(OR(B461="",$I$6&lt;&gt;"Complete"),"",I460+E461+G461-H461)</x:f>
      </x:c>
      <x:c r="J461" s="37" t="str">
        <x:f>IF(OR(B461="",$I$6&lt;&gt;"Complete"),"",'Inputs'!$C$49)</x:f>
      </x:c>
      <x:c r="K461" s="37" t="str">
        <x:f>IF(OR(B461="",$I$6&lt;&gt;"Complete"),"",I461-J461)</x:f>
      </x:c>
      <x:c r="L461" s="61" t="str">
        <x:f>IF(OR(B461="",$I$6&lt;&gt;"Complete"),"",IF(K461&lt;0,1,0))</x:f>
      </x:c>
    </x:row>
    <x:row r="462" ht="23" customHeight="1">
      <x:c r="A462" s="2"/>
      <x:c r="B462" s="60" t="str">
        <x:f>IF($D$6&lt;&gt;"Complete","",IF('Inputs'!$C$47+392&lt;=$D$9,'Inputs'!$C$47+392,""))</x:f>
      </x:c>
      <x:c r="C462" s="37" t="str">
        <x:f>IF(B462="","",SUMIFS($D$14:$D$23,$C$14:$C$23,B462))</x:f>
      </x:c>
      <x:c r="D462" s="37" t="str">
        <x:f>IF(B462="","",SUMIFS($E$14:$E$23,$C$14:$C$23,B462))</x:f>
      </x:c>
      <x:c r="E462" s="37" t="str">
        <x:f>IF(B462="","",C462-D462)</x:f>
      </x:c>
      <x:c r="F462" s="37" t="str">
        <x:f>IF(B462="","",F461+E462)</x:f>
      </x:c>
      <x:c r="G462" s="37" t="str">
        <x:f>IF(OR(B462="",$I$6&lt;&gt;"Complete"),"",SUMIFS($D$32:$D$51,$C$32:$C$51,B462,$I$32:$I$51,"Ready"))</x:f>
      </x:c>
      <x:c r="H462" s="37" t="str">
        <x:f>IF(OR(B462="",$I$6&lt;&gt;"Complete"),"",SUMIFS($E$32:$E$51,$C$32:$C$51,B462,$I$32:$I$51,"Ready"))</x:f>
      </x:c>
      <x:c r="I462" s="37" t="str">
        <x:f>IF(OR(B462="",$I$6&lt;&gt;"Complete"),"",I461+E462+G462-H462)</x:f>
      </x:c>
      <x:c r="J462" s="37" t="str">
        <x:f>IF(OR(B462="",$I$6&lt;&gt;"Complete"),"",'Inputs'!$C$49)</x:f>
      </x:c>
      <x:c r="K462" s="37" t="str">
        <x:f>IF(OR(B462="",$I$6&lt;&gt;"Complete"),"",I462-J462)</x:f>
      </x:c>
      <x:c r="L462" s="61" t="str">
        <x:f>IF(OR(B462="",$I$6&lt;&gt;"Complete"),"",IF(K462&lt;0,1,0))</x:f>
      </x:c>
    </x:row>
    <x:row r="463" ht="23" customHeight="1">
      <x:c r="A463" s="2"/>
      <x:c r="B463" s="60" t="str">
        <x:f>IF($D$6&lt;&gt;"Complete","",IF('Inputs'!$C$47+393&lt;=$D$9,'Inputs'!$C$47+393,""))</x:f>
      </x:c>
      <x:c r="C463" s="37" t="str">
        <x:f>IF(B463="","",SUMIFS($D$14:$D$23,$C$14:$C$23,B463))</x:f>
      </x:c>
      <x:c r="D463" s="37" t="str">
        <x:f>IF(B463="","",SUMIFS($E$14:$E$23,$C$14:$C$23,B463))</x:f>
      </x:c>
      <x:c r="E463" s="37" t="str">
        <x:f>IF(B463="","",C463-D463)</x:f>
      </x:c>
      <x:c r="F463" s="37" t="str">
        <x:f>IF(B463="","",F462+E463)</x:f>
      </x:c>
      <x:c r="G463" s="37" t="str">
        <x:f>IF(OR(B463="",$I$6&lt;&gt;"Complete"),"",SUMIFS($D$32:$D$51,$C$32:$C$51,B463,$I$32:$I$51,"Ready"))</x:f>
      </x:c>
      <x:c r="H463" s="37" t="str">
        <x:f>IF(OR(B463="",$I$6&lt;&gt;"Complete"),"",SUMIFS($E$32:$E$51,$C$32:$C$51,B463,$I$32:$I$51,"Ready"))</x:f>
      </x:c>
      <x:c r="I463" s="37" t="str">
        <x:f>IF(OR(B463="",$I$6&lt;&gt;"Complete"),"",I462+E463+G463-H463)</x:f>
      </x:c>
      <x:c r="J463" s="37" t="str">
        <x:f>IF(OR(B463="",$I$6&lt;&gt;"Complete"),"",'Inputs'!$C$49)</x:f>
      </x:c>
      <x:c r="K463" s="37" t="str">
        <x:f>IF(OR(B463="",$I$6&lt;&gt;"Complete"),"",I463-J463)</x:f>
      </x:c>
      <x:c r="L463" s="61" t="str">
        <x:f>IF(OR(B463="",$I$6&lt;&gt;"Complete"),"",IF(K463&lt;0,1,0))</x:f>
      </x:c>
    </x:row>
    <x:row r="464" ht="23" customHeight="1">
      <x:c r="A464" s="2"/>
      <x:c r="B464" s="60" t="str">
        <x:f>IF($D$6&lt;&gt;"Complete","",IF('Inputs'!$C$47+394&lt;=$D$9,'Inputs'!$C$47+394,""))</x:f>
      </x:c>
      <x:c r="C464" s="37" t="str">
        <x:f>IF(B464="","",SUMIFS($D$14:$D$23,$C$14:$C$23,B464))</x:f>
      </x:c>
      <x:c r="D464" s="37" t="str">
        <x:f>IF(B464="","",SUMIFS($E$14:$E$23,$C$14:$C$23,B464))</x:f>
      </x:c>
      <x:c r="E464" s="37" t="str">
        <x:f>IF(B464="","",C464-D464)</x:f>
      </x:c>
      <x:c r="F464" s="37" t="str">
        <x:f>IF(B464="","",F463+E464)</x:f>
      </x:c>
      <x:c r="G464" s="37" t="str">
        <x:f>IF(OR(B464="",$I$6&lt;&gt;"Complete"),"",SUMIFS($D$32:$D$51,$C$32:$C$51,B464,$I$32:$I$51,"Ready"))</x:f>
      </x:c>
      <x:c r="H464" s="37" t="str">
        <x:f>IF(OR(B464="",$I$6&lt;&gt;"Complete"),"",SUMIFS($E$32:$E$51,$C$32:$C$51,B464,$I$32:$I$51,"Ready"))</x:f>
      </x:c>
      <x:c r="I464" s="37" t="str">
        <x:f>IF(OR(B464="",$I$6&lt;&gt;"Complete"),"",I463+E464+G464-H464)</x:f>
      </x:c>
      <x:c r="J464" s="37" t="str">
        <x:f>IF(OR(B464="",$I$6&lt;&gt;"Complete"),"",'Inputs'!$C$49)</x:f>
      </x:c>
      <x:c r="K464" s="37" t="str">
        <x:f>IF(OR(B464="",$I$6&lt;&gt;"Complete"),"",I464-J464)</x:f>
      </x:c>
      <x:c r="L464" s="61" t="str">
        <x:f>IF(OR(B464="",$I$6&lt;&gt;"Complete"),"",IF(K464&lt;0,1,0))</x:f>
      </x:c>
    </x:row>
    <x:row r="465" ht="23" customHeight="1">
      <x:c r="A465" s="2"/>
      <x:c r="B465" s="60" t="str">
        <x:f>IF($D$6&lt;&gt;"Complete","",IF('Inputs'!$C$47+395&lt;=$D$9,'Inputs'!$C$47+395,""))</x:f>
      </x:c>
      <x:c r="C465" s="37" t="str">
        <x:f>IF(B465="","",SUMIFS($D$14:$D$23,$C$14:$C$23,B465))</x:f>
      </x:c>
      <x:c r="D465" s="37" t="str">
        <x:f>IF(B465="","",SUMIFS($E$14:$E$23,$C$14:$C$23,B465))</x:f>
      </x:c>
      <x:c r="E465" s="37" t="str">
        <x:f>IF(B465="","",C465-D465)</x:f>
      </x:c>
      <x:c r="F465" s="37" t="str">
        <x:f>IF(B465="","",F464+E465)</x:f>
      </x:c>
      <x:c r="G465" s="37" t="str">
        <x:f>IF(OR(B465="",$I$6&lt;&gt;"Complete"),"",SUMIFS($D$32:$D$51,$C$32:$C$51,B465,$I$32:$I$51,"Ready"))</x:f>
      </x:c>
      <x:c r="H465" s="37" t="str">
        <x:f>IF(OR(B465="",$I$6&lt;&gt;"Complete"),"",SUMIFS($E$32:$E$51,$C$32:$C$51,B465,$I$32:$I$51,"Ready"))</x:f>
      </x:c>
      <x:c r="I465" s="37" t="str">
        <x:f>IF(OR(B465="",$I$6&lt;&gt;"Complete"),"",I464+E465+G465-H465)</x:f>
      </x:c>
      <x:c r="J465" s="37" t="str">
        <x:f>IF(OR(B465="",$I$6&lt;&gt;"Complete"),"",'Inputs'!$C$49)</x:f>
      </x:c>
      <x:c r="K465" s="37" t="str">
        <x:f>IF(OR(B465="",$I$6&lt;&gt;"Complete"),"",I465-J465)</x:f>
      </x:c>
      <x:c r="L465" s="61" t="str">
        <x:f>IF(OR(B465="",$I$6&lt;&gt;"Complete"),"",IF(K465&lt;0,1,0))</x:f>
      </x:c>
    </x:row>
    <x:row r="466" ht="23" customHeight="1">
      <x:c r="A466" s="2"/>
      <x:c r="B466" s="60" t="str">
        <x:f>IF($D$6&lt;&gt;"Complete","",IF('Inputs'!$C$47+396&lt;=$D$9,'Inputs'!$C$47+396,""))</x:f>
      </x:c>
      <x:c r="C466" s="37" t="str">
        <x:f>IF(B466="","",SUMIFS($D$14:$D$23,$C$14:$C$23,B466))</x:f>
      </x:c>
      <x:c r="D466" s="37" t="str">
        <x:f>IF(B466="","",SUMIFS($E$14:$E$23,$C$14:$C$23,B466))</x:f>
      </x:c>
      <x:c r="E466" s="37" t="str">
        <x:f>IF(B466="","",C466-D466)</x:f>
      </x:c>
      <x:c r="F466" s="37" t="str">
        <x:f>IF(B466="","",F465+E466)</x:f>
      </x:c>
      <x:c r="G466" s="37" t="str">
        <x:f>IF(OR(B466="",$I$6&lt;&gt;"Complete"),"",SUMIFS($D$32:$D$51,$C$32:$C$51,B466,$I$32:$I$51,"Ready"))</x:f>
      </x:c>
      <x:c r="H466" s="37" t="str">
        <x:f>IF(OR(B466="",$I$6&lt;&gt;"Complete"),"",SUMIFS($E$32:$E$51,$C$32:$C$51,B466,$I$32:$I$51,"Ready"))</x:f>
      </x:c>
      <x:c r="I466" s="37" t="str">
        <x:f>IF(OR(B466="",$I$6&lt;&gt;"Complete"),"",I465+E466+G466-H466)</x:f>
      </x:c>
      <x:c r="J466" s="37" t="str">
        <x:f>IF(OR(B466="",$I$6&lt;&gt;"Complete"),"",'Inputs'!$C$49)</x:f>
      </x:c>
      <x:c r="K466" s="37" t="str">
        <x:f>IF(OR(B466="",$I$6&lt;&gt;"Complete"),"",I466-J466)</x:f>
      </x:c>
      <x:c r="L466" s="61" t="str">
        <x:f>IF(OR(B466="",$I$6&lt;&gt;"Complete"),"",IF(K466&lt;0,1,0))</x:f>
      </x:c>
    </x:row>
    <x:row r="467" ht="23" customHeight="1">
      <x:c r="A467" s="2"/>
      <x:c r="B467" s="60" t="str">
        <x:f>IF($D$6&lt;&gt;"Complete","",IF('Inputs'!$C$47+397&lt;=$D$9,'Inputs'!$C$47+397,""))</x:f>
      </x:c>
      <x:c r="C467" s="37" t="str">
        <x:f>IF(B467="","",SUMIFS($D$14:$D$23,$C$14:$C$23,B467))</x:f>
      </x:c>
      <x:c r="D467" s="37" t="str">
        <x:f>IF(B467="","",SUMIFS($E$14:$E$23,$C$14:$C$23,B467))</x:f>
      </x:c>
      <x:c r="E467" s="37" t="str">
        <x:f>IF(B467="","",C467-D467)</x:f>
      </x:c>
      <x:c r="F467" s="37" t="str">
        <x:f>IF(B467="","",F466+E467)</x:f>
      </x:c>
      <x:c r="G467" s="37" t="str">
        <x:f>IF(OR(B467="",$I$6&lt;&gt;"Complete"),"",SUMIFS($D$32:$D$51,$C$32:$C$51,B467,$I$32:$I$51,"Ready"))</x:f>
      </x:c>
      <x:c r="H467" s="37" t="str">
        <x:f>IF(OR(B467="",$I$6&lt;&gt;"Complete"),"",SUMIFS($E$32:$E$51,$C$32:$C$51,B467,$I$32:$I$51,"Ready"))</x:f>
      </x:c>
      <x:c r="I467" s="37" t="str">
        <x:f>IF(OR(B467="",$I$6&lt;&gt;"Complete"),"",I466+E467+G467-H467)</x:f>
      </x:c>
      <x:c r="J467" s="37" t="str">
        <x:f>IF(OR(B467="",$I$6&lt;&gt;"Complete"),"",'Inputs'!$C$49)</x:f>
      </x:c>
      <x:c r="K467" s="37" t="str">
        <x:f>IF(OR(B467="",$I$6&lt;&gt;"Complete"),"",I467-J467)</x:f>
      </x:c>
      <x:c r="L467" s="61" t="str">
        <x:f>IF(OR(B467="",$I$6&lt;&gt;"Complete"),"",IF(K467&lt;0,1,0))</x:f>
      </x:c>
    </x:row>
    <x:row r="468" ht="23" customHeight="1">
      <x:c r="A468" s="2"/>
      <x:c r="B468" s="60" t="str">
        <x:f>IF($D$6&lt;&gt;"Complete","",IF('Inputs'!$C$47+398&lt;=$D$9,'Inputs'!$C$47+398,""))</x:f>
      </x:c>
      <x:c r="C468" s="37" t="str">
        <x:f>IF(B468="","",SUMIFS($D$14:$D$23,$C$14:$C$23,B468))</x:f>
      </x:c>
      <x:c r="D468" s="37" t="str">
        <x:f>IF(B468="","",SUMIFS($E$14:$E$23,$C$14:$C$23,B468))</x:f>
      </x:c>
      <x:c r="E468" s="37" t="str">
        <x:f>IF(B468="","",C468-D468)</x:f>
      </x:c>
      <x:c r="F468" s="37" t="str">
        <x:f>IF(B468="","",F467+E468)</x:f>
      </x:c>
      <x:c r="G468" s="37" t="str">
        <x:f>IF(OR(B468="",$I$6&lt;&gt;"Complete"),"",SUMIFS($D$32:$D$51,$C$32:$C$51,B468,$I$32:$I$51,"Ready"))</x:f>
      </x:c>
      <x:c r="H468" s="37" t="str">
        <x:f>IF(OR(B468="",$I$6&lt;&gt;"Complete"),"",SUMIFS($E$32:$E$51,$C$32:$C$51,B468,$I$32:$I$51,"Ready"))</x:f>
      </x:c>
      <x:c r="I468" s="37" t="str">
        <x:f>IF(OR(B468="",$I$6&lt;&gt;"Complete"),"",I467+E468+G468-H468)</x:f>
      </x:c>
      <x:c r="J468" s="37" t="str">
        <x:f>IF(OR(B468="",$I$6&lt;&gt;"Complete"),"",'Inputs'!$C$49)</x:f>
      </x:c>
      <x:c r="K468" s="37" t="str">
        <x:f>IF(OR(B468="",$I$6&lt;&gt;"Complete"),"",I468-J468)</x:f>
      </x:c>
      <x:c r="L468" s="61" t="str">
        <x:f>IF(OR(B468="",$I$6&lt;&gt;"Complete"),"",IF(K468&lt;0,1,0))</x:f>
      </x:c>
    </x:row>
    <x:row r="469" ht="23" customHeight="1">
      <x:c r="A469" s="2"/>
      <x:c r="B469" s="60" t="str">
        <x:f>IF($D$6&lt;&gt;"Complete","",IF('Inputs'!$C$47+399&lt;=$D$9,'Inputs'!$C$47+399,""))</x:f>
      </x:c>
      <x:c r="C469" s="37" t="str">
        <x:f>IF(B469="","",SUMIFS($D$14:$D$23,$C$14:$C$23,B469))</x:f>
      </x:c>
      <x:c r="D469" s="37" t="str">
        <x:f>IF(B469="","",SUMIFS($E$14:$E$23,$C$14:$C$23,B469))</x:f>
      </x:c>
      <x:c r="E469" s="37" t="str">
        <x:f>IF(B469="","",C469-D469)</x:f>
      </x:c>
      <x:c r="F469" s="37" t="str">
        <x:f>IF(B469="","",F468+E469)</x:f>
      </x:c>
      <x:c r="G469" s="37" t="str">
        <x:f>IF(OR(B469="",$I$6&lt;&gt;"Complete"),"",SUMIFS($D$32:$D$51,$C$32:$C$51,B469,$I$32:$I$51,"Ready"))</x:f>
      </x:c>
      <x:c r="H469" s="37" t="str">
        <x:f>IF(OR(B469="",$I$6&lt;&gt;"Complete"),"",SUMIFS($E$32:$E$51,$C$32:$C$51,B469,$I$32:$I$51,"Ready"))</x:f>
      </x:c>
      <x:c r="I469" s="37" t="str">
        <x:f>IF(OR(B469="",$I$6&lt;&gt;"Complete"),"",I468+E469+G469-H469)</x:f>
      </x:c>
      <x:c r="J469" s="37" t="str">
        <x:f>IF(OR(B469="",$I$6&lt;&gt;"Complete"),"",'Inputs'!$C$49)</x:f>
      </x:c>
      <x:c r="K469" s="37" t="str">
        <x:f>IF(OR(B469="",$I$6&lt;&gt;"Complete"),"",I469-J469)</x:f>
      </x:c>
      <x:c r="L469" s="61" t="str">
        <x:f>IF(OR(B469="",$I$6&lt;&gt;"Complete"),"",IF(K469&lt;0,1,0))</x:f>
      </x:c>
    </x:row>
    <x:row r="470" ht="23" customHeight="1">
      <x:c r="A470" s="2"/>
      <x:c r="B470" s="60" t="str">
        <x:f>IF($D$6&lt;&gt;"Complete","",IF('Inputs'!$C$47+400&lt;=$D$9,'Inputs'!$C$47+400,""))</x:f>
      </x:c>
      <x:c r="C470" s="37" t="str">
        <x:f>IF(B470="","",SUMIFS($D$14:$D$23,$C$14:$C$23,B470))</x:f>
      </x:c>
      <x:c r="D470" s="37" t="str">
        <x:f>IF(B470="","",SUMIFS($E$14:$E$23,$C$14:$C$23,B470))</x:f>
      </x:c>
      <x:c r="E470" s="37" t="str">
        <x:f>IF(B470="","",C470-D470)</x:f>
      </x:c>
      <x:c r="F470" s="37" t="str">
        <x:f>IF(B470="","",F469+E470)</x:f>
      </x:c>
      <x:c r="G470" s="37" t="str">
        <x:f>IF(OR(B470="",$I$6&lt;&gt;"Complete"),"",SUMIFS($D$32:$D$51,$C$32:$C$51,B470,$I$32:$I$51,"Ready"))</x:f>
      </x:c>
      <x:c r="H470" s="37" t="str">
        <x:f>IF(OR(B470="",$I$6&lt;&gt;"Complete"),"",SUMIFS($E$32:$E$51,$C$32:$C$51,B470,$I$32:$I$51,"Ready"))</x:f>
      </x:c>
      <x:c r="I470" s="37" t="str">
        <x:f>IF(OR(B470="",$I$6&lt;&gt;"Complete"),"",I469+E470+G470-H470)</x:f>
      </x:c>
      <x:c r="J470" s="37" t="str">
        <x:f>IF(OR(B470="",$I$6&lt;&gt;"Complete"),"",'Inputs'!$C$49)</x:f>
      </x:c>
      <x:c r="K470" s="37" t="str">
        <x:f>IF(OR(B470="",$I$6&lt;&gt;"Complete"),"",I470-J470)</x:f>
      </x:c>
      <x:c r="L470" s="61" t="str">
        <x:f>IF(OR(B470="",$I$6&lt;&gt;"Complete"),"",IF(K470&lt;0,1,0))</x:f>
      </x:c>
    </x:row>
    <x:row r="471" ht="23" customHeight="1">
      <x:c r="A471" s="2"/>
      <x:c r="B471" s="60" t="str">
        <x:f>IF($D$6&lt;&gt;"Complete","",IF('Inputs'!$C$47+401&lt;=$D$9,'Inputs'!$C$47+401,""))</x:f>
      </x:c>
      <x:c r="C471" s="37" t="str">
        <x:f>IF(B471="","",SUMIFS($D$14:$D$23,$C$14:$C$23,B471))</x:f>
      </x:c>
      <x:c r="D471" s="37" t="str">
        <x:f>IF(B471="","",SUMIFS($E$14:$E$23,$C$14:$C$23,B471))</x:f>
      </x:c>
      <x:c r="E471" s="37" t="str">
        <x:f>IF(B471="","",C471-D471)</x:f>
      </x:c>
      <x:c r="F471" s="37" t="str">
        <x:f>IF(B471="","",F470+E471)</x:f>
      </x:c>
      <x:c r="G471" s="37" t="str">
        <x:f>IF(OR(B471="",$I$6&lt;&gt;"Complete"),"",SUMIFS($D$32:$D$51,$C$32:$C$51,B471,$I$32:$I$51,"Ready"))</x:f>
      </x:c>
      <x:c r="H471" s="37" t="str">
        <x:f>IF(OR(B471="",$I$6&lt;&gt;"Complete"),"",SUMIFS($E$32:$E$51,$C$32:$C$51,B471,$I$32:$I$51,"Ready"))</x:f>
      </x:c>
      <x:c r="I471" s="37" t="str">
        <x:f>IF(OR(B471="",$I$6&lt;&gt;"Complete"),"",I470+E471+G471-H471)</x:f>
      </x:c>
      <x:c r="J471" s="37" t="str">
        <x:f>IF(OR(B471="",$I$6&lt;&gt;"Complete"),"",'Inputs'!$C$49)</x:f>
      </x:c>
      <x:c r="K471" s="37" t="str">
        <x:f>IF(OR(B471="",$I$6&lt;&gt;"Complete"),"",I471-J471)</x:f>
      </x:c>
      <x:c r="L471" s="61" t="str">
        <x:f>IF(OR(B471="",$I$6&lt;&gt;"Complete"),"",IF(K471&lt;0,1,0))</x:f>
      </x:c>
    </x:row>
    <x:row r="472" ht="23" customHeight="1">
      <x:c r="A472" s="2"/>
      <x:c r="B472" s="60" t="str">
        <x:f>IF($D$6&lt;&gt;"Complete","",IF('Inputs'!$C$47+402&lt;=$D$9,'Inputs'!$C$47+402,""))</x:f>
      </x:c>
      <x:c r="C472" s="37" t="str">
        <x:f>IF(B472="","",SUMIFS($D$14:$D$23,$C$14:$C$23,B472))</x:f>
      </x:c>
      <x:c r="D472" s="37" t="str">
        <x:f>IF(B472="","",SUMIFS($E$14:$E$23,$C$14:$C$23,B472))</x:f>
      </x:c>
      <x:c r="E472" s="37" t="str">
        <x:f>IF(B472="","",C472-D472)</x:f>
      </x:c>
      <x:c r="F472" s="37" t="str">
        <x:f>IF(B472="","",F471+E472)</x:f>
      </x:c>
      <x:c r="G472" s="37" t="str">
        <x:f>IF(OR(B472="",$I$6&lt;&gt;"Complete"),"",SUMIFS($D$32:$D$51,$C$32:$C$51,B472,$I$32:$I$51,"Ready"))</x:f>
      </x:c>
      <x:c r="H472" s="37" t="str">
        <x:f>IF(OR(B472="",$I$6&lt;&gt;"Complete"),"",SUMIFS($E$32:$E$51,$C$32:$C$51,B472,$I$32:$I$51,"Ready"))</x:f>
      </x:c>
      <x:c r="I472" s="37" t="str">
        <x:f>IF(OR(B472="",$I$6&lt;&gt;"Complete"),"",I471+E472+G472-H472)</x:f>
      </x:c>
      <x:c r="J472" s="37" t="str">
        <x:f>IF(OR(B472="",$I$6&lt;&gt;"Complete"),"",'Inputs'!$C$49)</x:f>
      </x:c>
      <x:c r="K472" s="37" t="str">
        <x:f>IF(OR(B472="",$I$6&lt;&gt;"Complete"),"",I472-J472)</x:f>
      </x:c>
      <x:c r="L472" s="61" t="str">
        <x:f>IF(OR(B472="",$I$6&lt;&gt;"Complete"),"",IF(K472&lt;0,1,0))</x:f>
      </x:c>
    </x:row>
    <x:row r="473" ht="23" customHeight="1">
      <x:c r="A473" s="2"/>
      <x:c r="B473" s="60" t="str">
        <x:f>IF($D$6&lt;&gt;"Complete","",IF('Inputs'!$C$47+403&lt;=$D$9,'Inputs'!$C$47+403,""))</x:f>
      </x:c>
      <x:c r="C473" s="37" t="str">
        <x:f>IF(B473="","",SUMIFS($D$14:$D$23,$C$14:$C$23,B473))</x:f>
      </x:c>
      <x:c r="D473" s="37" t="str">
        <x:f>IF(B473="","",SUMIFS($E$14:$E$23,$C$14:$C$23,B473))</x:f>
      </x:c>
      <x:c r="E473" s="37" t="str">
        <x:f>IF(B473="","",C473-D473)</x:f>
      </x:c>
      <x:c r="F473" s="37" t="str">
        <x:f>IF(B473="","",F472+E473)</x:f>
      </x:c>
      <x:c r="G473" s="37" t="str">
        <x:f>IF(OR(B473="",$I$6&lt;&gt;"Complete"),"",SUMIFS($D$32:$D$51,$C$32:$C$51,B473,$I$32:$I$51,"Ready"))</x:f>
      </x:c>
      <x:c r="H473" s="37" t="str">
        <x:f>IF(OR(B473="",$I$6&lt;&gt;"Complete"),"",SUMIFS($E$32:$E$51,$C$32:$C$51,B473,$I$32:$I$51,"Ready"))</x:f>
      </x:c>
      <x:c r="I473" s="37" t="str">
        <x:f>IF(OR(B473="",$I$6&lt;&gt;"Complete"),"",I472+E473+G473-H473)</x:f>
      </x:c>
      <x:c r="J473" s="37" t="str">
        <x:f>IF(OR(B473="",$I$6&lt;&gt;"Complete"),"",'Inputs'!$C$49)</x:f>
      </x:c>
      <x:c r="K473" s="37" t="str">
        <x:f>IF(OR(B473="",$I$6&lt;&gt;"Complete"),"",I473-J473)</x:f>
      </x:c>
      <x:c r="L473" s="61" t="str">
        <x:f>IF(OR(B473="",$I$6&lt;&gt;"Complete"),"",IF(K473&lt;0,1,0))</x:f>
      </x:c>
    </x:row>
    <x:row r="474" ht="23" customHeight="1">
      <x:c r="A474" s="2"/>
      <x:c r="B474" s="60" t="str">
        <x:f>IF($D$6&lt;&gt;"Complete","",IF('Inputs'!$C$47+404&lt;=$D$9,'Inputs'!$C$47+404,""))</x:f>
      </x:c>
      <x:c r="C474" s="37" t="str">
        <x:f>IF(B474="","",SUMIFS($D$14:$D$23,$C$14:$C$23,B474))</x:f>
      </x:c>
      <x:c r="D474" s="37" t="str">
        <x:f>IF(B474="","",SUMIFS($E$14:$E$23,$C$14:$C$23,B474))</x:f>
      </x:c>
      <x:c r="E474" s="37" t="str">
        <x:f>IF(B474="","",C474-D474)</x:f>
      </x:c>
      <x:c r="F474" s="37" t="str">
        <x:f>IF(B474="","",F473+E474)</x:f>
      </x:c>
      <x:c r="G474" s="37" t="str">
        <x:f>IF(OR(B474="",$I$6&lt;&gt;"Complete"),"",SUMIFS($D$32:$D$51,$C$32:$C$51,B474,$I$32:$I$51,"Ready"))</x:f>
      </x:c>
      <x:c r="H474" s="37" t="str">
        <x:f>IF(OR(B474="",$I$6&lt;&gt;"Complete"),"",SUMIFS($E$32:$E$51,$C$32:$C$51,B474,$I$32:$I$51,"Ready"))</x:f>
      </x:c>
      <x:c r="I474" s="37" t="str">
        <x:f>IF(OR(B474="",$I$6&lt;&gt;"Complete"),"",I473+E474+G474-H474)</x:f>
      </x:c>
      <x:c r="J474" s="37" t="str">
        <x:f>IF(OR(B474="",$I$6&lt;&gt;"Complete"),"",'Inputs'!$C$49)</x:f>
      </x:c>
      <x:c r="K474" s="37" t="str">
        <x:f>IF(OR(B474="",$I$6&lt;&gt;"Complete"),"",I474-J474)</x:f>
      </x:c>
      <x:c r="L474" s="61" t="str">
        <x:f>IF(OR(B474="",$I$6&lt;&gt;"Complete"),"",IF(K474&lt;0,1,0))</x:f>
      </x:c>
    </x:row>
    <x:row r="475" ht="23" customHeight="1">
      <x:c r="A475" s="2"/>
      <x:c r="B475" s="60" t="str">
        <x:f>IF($D$6&lt;&gt;"Complete","",IF('Inputs'!$C$47+405&lt;=$D$9,'Inputs'!$C$47+405,""))</x:f>
      </x:c>
      <x:c r="C475" s="37" t="str">
        <x:f>IF(B475="","",SUMIFS($D$14:$D$23,$C$14:$C$23,B475))</x:f>
      </x:c>
      <x:c r="D475" s="37" t="str">
        <x:f>IF(B475="","",SUMIFS($E$14:$E$23,$C$14:$C$23,B475))</x:f>
      </x:c>
      <x:c r="E475" s="37" t="str">
        <x:f>IF(B475="","",C475-D475)</x:f>
      </x:c>
      <x:c r="F475" s="37" t="str">
        <x:f>IF(B475="","",F474+E475)</x:f>
      </x:c>
      <x:c r="G475" s="37" t="str">
        <x:f>IF(OR(B475="",$I$6&lt;&gt;"Complete"),"",SUMIFS($D$32:$D$51,$C$32:$C$51,B475,$I$32:$I$51,"Ready"))</x:f>
      </x:c>
      <x:c r="H475" s="37" t="str">
        <x:f>IF(OR(B475="",$I$6&lt;&gt;"Complete"),"",SUMIFS($E$32:$E$51,$C$32:$C$51,B475,$I$32:$I$51,"Ready"))</x:f>
      </x:c>
      <x:c r="I475" s="37" t="str">
        <x:f>IF(OR(B475="",$I$6&lt;&gt;"Complete"),"",I474+E475+G475-H475)</x:f>
      </x:c>
      <x:c r="J475" s="37" t="str">
        <x:f>IF(OR(B475="",$I$6&lt;&gt;"Complete"),"",'Inputs'!$C$49)</x:f>
      </x:c>
      <x:c r="K475" s="37" t="str">
        <x:f>IF(OR(B475="",$I$6&lt;&gt;"Complete"),"",I475-J475)</x:f>
      </x:c>
      <x:c r="L475" s="61" t="str">
        <x:f>IF(OR(B475="",$I$6&lt;&gt;"Complete"),"",IF(K475&lt;0,1,0))</x:f>
      </x:c>
    </x:row>
    <x:row r="476" ht="23" customHeight="1">
      <x:c r="A476" s="2"/>
      <x:c r="B476" s="60" t="str">
        <x:f>IF($D$6&lt;&gt;"Complete","",IF('Inputs'!$C$47+406&lt;=$D$9,'Inputs'!$C$47+406,""))</x:f>
      </x:c>
      <x:c r="C476" s="37" t="str">
        <x:f>IF(B476="","",SUMIFS($D$14:$D$23,$C$14:$C$23,B476))</x:f>
      </x:c>
      <x:c r="D476" s="37" t="str">
        <x:f>IF(B476="","",SUMIFS($E$14:$E$23,$C$14:$C$23,B476))</x:f>
      </x:c>
      <x:c r="E476" s="37" t="str">
        <x:f>IF(B476="","",C476-D476)</x:f>
      </x:c>
      <x:c r="F476" s="37" t="str">
        <x:f>IF(B476="","",F475+E476)</x:f>
      </x:c>
      <x:c r="G476" s="37" t="str">
        <x:f>IF(OR(B476="",$I$6&lt;&gt;"Complete"),"",SUMIFS($D$32:$D$51,$C$32:$C$51,B476,$I$32:$I$51,"Ready"))</x:f>
      </x:c>
      <x:c r="H476" s="37" t="str">
        <x:f>IF(OR(B476="",$I$6&lt;&gt;"Complete"),"",SUMIFS($E$32:$E$51,$C$32:$C$51,B476,$I$32:$I$51,"Ready"))</x:f>
      </x:c>
      <x:c r="I476" s="37" t="str">
        <x:f>IF(OR(B476="",$I$6&lt;&gt;"Complete"),"",I475+E476+G476-H476)</x:f>
      </x:c>
      <x:c r="J476" s="37" t="str">
        <x:f>IF(OR(B476="",$I$6&lt;&gt;"Complete"),"",'Inputs'!$C$49)</x:f>
      </x:c>
      <x:c r="K476" s="37" t="str">
        <x:f>IF(OR(B476="",$I$6&lt;&gt;"Complete"),"",I476-J476)</x:f>
      </x:c>
      <x:c r="L476" s="61" t="str">
        <x:f>IF(OR(B476="",$I$6&lt;&gt;"Complete"),"",IF(K476&lt;0,1,0))</x:f>
      </x:c>
    </x:row>
    <x:row r="477" ht="23" customHeight="1">
      <x:c r="A477" s="2"/>
      <x:c r="B477" s="60" t="str">
        <x:f>IF($D$6&lt;&gt;"Complete","",IF('Inputs'!$C$47+407&lt;=$D$9,'Inputs'!$C$47+407,""))</x:f>
      </x:c>
      <x:c r="C477" s="37" t="str">
        <x:f>IF(B477="","",SUMIFS($D$14:$D$23,$C$14:$C$23,B477))</x:f>
      </x:c>
      <x:c r="D477" s="37" t="str">
        <x:f>IF(B477="","",SUMIFS($E$14:$E$23,$C$14:$C$23,B477))</x:f>
      </x:c>
      <x:c r="E477" s="37" t="str">
        <x:f>IF(B477="","",C477-D477)</x:f>
      </x:c>
      <x:c r="F477" s="37" t="str">
        <x:f>IF(B477="","",F476+E477)</x:f>
      </x:c>
      <x:c r="G477" s="37" t="str">
        <x:f>IF(OR(B477="",$I$6&lt;&gt;"Complete"),"",SUMIFS($D$32:$D$51,$C$32:$C$51,B477,$I$32:$I$51,"Ready"))</x:f>
      </x:c>
      <x:c r="H477" s="37" t="str">
        <x:f>IF(OR(B477="",$I$6&lt;&gt;"Complete"),"",SUMIFS($E$32:$E$51,$C$32:$C$51,B477,$I$32:$I$51,"Ready"))</x:f>
      </x:c>
      <x:c r="I477" s="37" t="str">
        <x:f>IF(OR(B477="",$I$6&lt;&gt;"Complete"),"",I476+E477+G477-H477)</x:f>
      </x:c>
      <x:c r="J477" s="37" t="str">
        <x:f>IF(OR(B477="",$I$6&lt;&gt;"Complete"),"",'Inputs'!$C$49)</x:f>
      </x:c>
      <x:c r="K477" s="37" t="str">
        <x:f>IF(OR(B477="",$I$6&lt;&gt;"Complete"),"",I477-J477)</x:f>
      </x:c>
      <x:c r="L477" s="61" t="str">
        <x:f>IF(OR(B477="",$I$6&lt;&gt;"Complete"),"",IF(K477&lt;0,1,0))</x:f>
      </x:c>
    </x:row>
    <x:row r="478" ht="23" customHeight="1">
      <x:c r="A478" s="2"/>
      <x:c r="B478" s="60" t="str">
        <x:f>IF($D$6&lt;&gt;"Complete","",IF('Inputs'!$C$47+408&lt;=$D$9,'Inputs'!$C$47+408,""))</x:f>
      </x:c>
      <x:c r="C478" s="37" t="str">
        <x:f>IF(B478="","",SUMIFS($D$14:$D$23,$C$14:$C$23,B478))</x:f>
      </x:c>
      <x:c r="D478" s="37" t="str">
        <x:f>IF(B478="","",SUMIFS($E$14:$E$23,$C$14:$C$23,B478))</x:f>
      </x:c>
      <x:c r="E478" s="37" t="str">
        <x:f>IF(B478="","",C478-D478)</x:f>
      </x:c>
      <x:c r="F478" s="37" t="str">
        <x:f>IF(B478="","",F477+E478)</x:f>
      </x:c>
      <x:c r="G478" s="37" t="str">
        <x:f>IF(OR(B478="",$I$6&lt;&gt;"Complete"),"",SUMIFS($D$32:$D$51,$C$32:$C$51,B478,$I$32:$I$51,"Ready"))</x:f>
      </x:c>
      <x:c r="H478" s="37" t="str">
        <x:f>IF(OR(B478="",$I$6&lt;&gt;"Complete"),"",SUMIFS($E$32:$E$51,$C$32:$C$51,B478,$I$32:$I$51,"Ready"))</x:f>
      </x:c>
      <x:c r="I478" s="37" t="str">
        <x:f>IF(OR(B478="",$I$6&lt;&gt;"Complete"),"",I477+E478+G478-H478)</x:f>
      </x:c>
      <x:c r="J478" s="37" t="str">
        <x:f>IF(OR(B478="",$I$6&lt;&gt;"Complete"),"",'Inputs'!$C$49)</x:f>
      </x:c>
      <x:c r="K478" s="37" t="str">
        <x:f>IF(OR(B478="",$I$6&lt;&gt;"Complete"),"",I478-J478)</x:f>
      </x:c>
      <x:c r="L478" s="61" t="str">
        <x:f>IF(OR(B478="",$I$6&lt;&gt;"Complete"),"",IF(K478&lt;0,1,0))</x:f>
      </x:c>
    </x:row>
    <x:row r="479" ht="23" customHeight="1">
      <x:c r="A479" s="2"/>
      <x:c r="B479" s="60" t="str">
        <x:f>IF($D$6&lt;&gt;"Complete","",IF('Inputs'!$C$47+409&lt;=$D$9,'Inputs'!$C$47+409,""))</x:f>
      </x:c>
      <x:c r="C479" s="37" t="str">
        <x:f>IF(B479="","",SUMIFS($D$14:$D$23,$C$14:$C$23,B479))</x:f>
      </x:c>
      <x:c r="D479" s="37" t="str">
        <x:f>IF(B479="","",SUMIFS($E$14:$E$23,$C$14:$C$23,B479))</x:f>
      </x:c>
      <x:c r="E479" s="37" t="str">
        <x:f>IF(B479="","",C479-D479)</x:f>
      </x:c>
      <x:c r="F479" s="37" t="str">
        <x:f>IF(B479="","",F478+E479)</x:f>
      </x:c>
      <x:c r="G479" s="37" t="str">
        <x:f>IF(OR(B479="",$I$6&lt;&gt;"Complete"),"",SUMIFS($D$32:$D$51,$C$32:$C$51,B479,$I$32:$I$51,"Ready"))</x:f>
      </x:c>
      <x:c r="H479" s="37" t="str">
        <x:f>IF(OR(B479="",$I$6&lt;&gt;"Complete"),"",SUMIFS($E$32:$E$51,$C$32:$C$51,B479,$I$32:$I$51,"Ready"))</x:f>
      </x:c>
      <x:c r="I479" s="37" t="str">
        <x:f>IF(OR(B479="",$I$6&lt;&gt;"Complete"),"",I478+E479+G479-H479)</x:f>
      </x:c>
      <x:c r="J479" s="37" t="str">
        <x:f>IF(OR(B479="",$I$6&lt;&gt;"Complete"),"",'Inputs'!$C$49)</x:f>
      </x:c>
      <x:c r="K479" s="37" t="str">
        <x:f>IF(OR(B479="",$I$6&lt;&gt;"Complete"),"",I479-J479)</x:f>
      </x:c>
      <x:c r="L479" s="61" t="str">
        <x:f>IF(OR(B479="",$I$6&lt;&gt;"Complete"),"",IF(K479&lt;0,1,0))</x:f>
      </x:c>
    </x:row>
    <x:row r="480" ht="23" customHeight="1">
      <x:c r="A480" s="2"/>
      <x:c r="B480" s="60" t="str">
        <x:f>IF($D$6&lt;&gt;"Complete","",IF('Inputs'!$C$47+410&lt;=$D$9,'Inputs'!$C$47+410,""))</x:f>
      </x:c>
      <x:c r="C480" s="37" t="str">
        <x:f>IF(B480="","",SUMIFS($D$14:$D$23,$C$14:$C$23,B480))</x:f>
      </x:c>
      <x:c r="D480" s="37" t="str">
        <x:f>IF(B480="","",SUMIFS($E$14:$E$23,$C$14:$C$23,B480))</x:f>
      </x:c>
      <x:c r="E480" s="37" t="str">
        <x:f>IF(B480="","",C480-D480)</x:f>
      </x:c>
      <x:c r="F480" s="37" t="str">
        <x:f>IF(B480="","",F479+E480)</x:f>
      </x:c>
      <x:c r="G480" s="37" t="str">
        <x:f>IF(OR(B480="",$I$6&lt;&gt;"Complete"),"",SUMIFS($D$32:$D$51,$C$32:$C$51,B480,$I$32:$I$51,"Ready"))</x:f>
      </x:c>
      <x:c r="H480" s="37" t="str">
        <x:f>IF(OR(B480="",$I$6&lt;&gt;"Complete"),"",SUMIFS($E$32:$E$51,$C$32:$C$51,B480,$I$32:$I$51,"Ready"))</x:f>
      </x:c>
      <x:c r="I480" s="37" t="str">
        <x:f>IF(OR(B480="",$I$6&lt;&gt;"Complete"),"",I479+E480+G480-H480)</x:f>
      </x:c>
      <x:c r="J480" s="37" t="str">
        <x:f>IF(OR(B480="",$I$6&lt;&gt;"Complete"),"",'Inputs'!$C$49)</x:f>
      </x:c>
      <x:c r="K480" s="37" t="str">
        <x:f>IF(OR(B480="",$I$6&lt;&gt;"Complete"),"",I480-J480)</x:f>
      </x:c>
      <x:c r="L480" s="61" t="str">
        <x:f>IF(OR(B480="",$I$6&lt;&gt;"Complete"),"",IF(K480&lt;0,1,0))</x:f>
      </x:c>
    </x:row>
    <x:row r="481" ht="23" customHeight="1">
      <x:c r="A481" s="2"/>
      <x:c r="B481" s="60" t="str">
        <x:f>IF($D$6&lt;&gt;"Complete","",IF('Inputs'!$C$47+411&lt;=$D$9,'Inputs'!$C$47+411,""))</x:f>
      </x:c>
      <x:c r="C481" s="37" t="str">
        <x:f>IF(B481="","",SUMIFS($D$14:$D$23,$C$14:$C$23,B481))</x:f>
      </x:c>
      <x:c r="D481" s="37" t="str">
        <x:f>IF(B481="","",SUMIFS($E$14:$E$23,$C$14:$C$23,B481))</x:f>
      </x:c>
      <x:c r="E481" s="37" t="str">
        <x:f>IF(B481="","",C481-D481)</x:f>
      </x:c>
      <x:c r="F481" s="37" t="str">
        <x:f>IF(B481="","",F480+E481)</x:f>
      </x:c>
      <x:c r="G481" s="37" t="str">
        <x:f>IF(OR(B481="",$I$6&lt;&gt;"Complete"),"",SUMIFS($D$32:$D$51,$C$32:$C$51,B481,$I$32:$I$51,"Ready"))</x:f>
      </x:c>
      <x:c r="H481" s="37" t="str">
        <x:f>IF(OR(B481="",$I$6&lt;&gt;"Complete"),"",SUMIFS($E$32:$E$51,$C$32:$C$51,B481,$I$32:$I$51,"Ready"))</x:f>
      </x:c>
      <x:c r="I481" s="37" t="str">
        <x:f>IF(OR(B481="",$I$6&lt;&gt;"Complete"),"",I480+E481+G481-H481)</x:f>
      </x:c>
      <x:c r="J481" s="37" t="str">
        <x:f>IF(OR(B481="",$I$6&lt;&gt;"Complete"),"",'Inputs'!$C$49)</x:f>
      </x:c>
      <x:c r="K481" s="37" t="str">
        <x:f>IF(OR(B481="",$I$6&lt;&gt;"Complete"),"",I481-J481)</x:f>
      </x:c>
      <x:c r="L481" s="61" t="str">
        <x:f>IF(OR(B481="",$I$6&lt;&gt;"Complete"),"",IF(K481&lt;0,1,0))</x:f>
      </x:c>
    </x:row>
    <x:row r="482" ht="23" customHeight="1">
      <x:c r="A482" s="2"/>
      <x:c r="B482" s="60" t="str">
        <x:f>IF($D$6&lt;&gt;"Complete","",IF('Inputs'!$C$47+412&lt;=$D$9,'Inputs'!$C$47+412,""))</x:f>
      </x:c>
      <x:c r="C482" s="37" t="str">
        <x:f>IF(B482="","",SUMIFS($D$14:$D$23,$C$14:$C$23,B482))</x:f>
      </x:c>
      <x:c r="D482" s="37" t="str">
        <x:f>IF(B482="","",SUMIFS($E$14:$E$23,$C$14:$C$23,B482))</x:f>
      </x:c>
      <x:c r="E482" s="37" t="str">
        <x:f>IF(B482="","",C482-D482)</x:f>
      </x:c>
      <x:c r="F482" s="37" t="str">
        <x:f>IF(B482="","",F481+E482)</x:f>
      </x:c>
      <x:c r="G482" s="37" t="str">
        <x:f>IF(OR(B482="",$I$6&lt;&gt;"Complete"),"",SUMIFS($D$32:$D$51,$C$32:$C$51,B482,$I$32:$I$51,"Ready"))</x:f>
      </x:c>
      <x:c r="H482" s="37" t="str">
        <x:f>IF(OR(B482="",$I$6&lt;&gt;"Complete"),"",SUMIFS($E$32:$E$51,$C$32:$C$51,B482,$I$32:$I$51,"Ready"))</x:f>
      </x:c>
      <x:c r="I482" s="37" t="str">
        <x:f>IF(OR(B482="",$I$6&lt;&gt;"Complete"),"",I481+E482+G482-H482)</x:f>
      </x:c>
      <x:c r="J482" s="37" t="str">
        <x:f>IF(OR(B482="",$I$6&lt;&gt;"Complete"),"",'Inputs'!$C$49)</x:f>
      </x:c>
      <x:c r="K482" s="37" t="str">
        <x:f>IF(OR(B482="",$I$6&lt;&gt;"Complete"),"",I482-J482)</x:f>
      </x:c>
      <x:c r="L482" s="61" t="str">
        <x:f>IF(OR(B482="",$I$6&lt;&gt;"Complete"),"",IF(K482&lt;0,1,0))</x:f>
      </x:c>
    </x:row>
    <x:row r="483" ht="23" customHeight="1">
      <x:c r="A483" s="2"/>
      <x:c r="B483" s="60" t="str">
        <x:f>IF($D$6&lt;&gt;"Complete","",IF('Inputs'!$C$47+413&lt;=$D$9,'Inputs'!$C$47+413,""))</x:f>
      </x:c>
      <x:c r="C483" s="37" t="str">
        <x:f>IF(B483="","",SUMIFS($D$14:$D$23,$C$14:$C$23,B483))</x:f>
      </x:c>
      <x:c r="D483" s="37" t="str">
        <x:f>IF(B483="","",SUMIFS($E$14:$E$23,$C$14:$C$23,B483))</x:f>
      </x:c>
      <x:c r="E483" s="37" t="str">
        <x:f>IF(B483="","",C483-D483)</x:f>
      </x:c>
      <x:c r="F483" s="37" t="str">
        <x:f>IF(B483="","",F482+E483)</x:f>
      </x:c>
      <x:c r="G483" s="37" t="str">
        <x:f>IF(OR(B483="",$I$6&lt;&gt;"Complete"),"",SUMIFS($D$32:$D$51,$C$32:$C$51,B483,$I$32:$I$51,"Ready"))</x:f>
      </x:c>
      <x:c r="H483" s="37" t="str">
        <x:f>IF(OR(B483="",$I$6&lt;&gt;"Complete"),"",SUMIFS($E$32:$E$51,$C$32:$C$51,B483,$I$32:$I$51,"Ready"))</x:f>
      </x:c>
      <x:c r="I483" s="37" t="str">
        <x:f>IF(OR(B483="",$I$6&lt;&gt;"Complete"),"",I482+E483+G483-H483)</x:f>
      </x:c>
      <x:c r="J483" s="37" t="str">
        <x:f>IF(OR(B483="",$I$6&lt;&gt;"Complete"),"",'Inputs'!$C$49)</x:f>
      </x:c>
      <x:c r="K483" s="37" t="str">
        <x:f>IF(OR(B483="",$I$6&lt;&gt;"Complete"),"",I483-J483)</x:f>
      </x:c>
      <x:c r="L483" s="61" t="str">
        <x:f>IF(OR(B483="",$I$6&lt;&gt;"Complete"),"",IF(K483&lt;0,1,0))</x:f>
      </x:c>
    </x:row>
    <x:row r="484" ht="23" customHeight="1">
      <x:c r="A484" s="2"/>
      <x:c r="B484" s="60" t="str">
        <x:f>IF($D$6&lt;&gt;"Complete","",IF('Inputs'!$C$47+414&lt;=$D$9,'Inputs'!$C$47+414,""))</x:f>
      </x:c>
      <x:c r="C484" s="37" t="str">
        <x:f>IF(B484="","",SUMIFS($D$14:$D$23,$C$14:$C$23,B484))</x:f>
      </x:c>
      <x:c r="D484" s="37" t="str">
        <x:f>IF(B484="","",SUMIFS($E$14:$E$23,$C$14:$C$23,B484))</x:f>
      </x:c>
      <x:c r="E484" s="37" t="str">
        <x:f>IF(B484="","",C484-D484)</x:f>
      </x:c>
      <x:c r="F484" s="37" t="str">
        <x:f>IF(B484="","",F483+E484)</x:f>
      </x:c>
      <x:c r="G484" s="37" t="str">
        <x:f>IF(OR(B484="",$I$6&lt;&gt;"Complete"),"",SUMIFS($D$32:$D$51,$C$32:$C$51,B484,$I$32:$I$51,"Ready"))</x:f>
      </x:c>
      <x:c r="H484" s="37" t="str">
        <x:f>IF(OR(B484="",$I$6&lt;&gt;"Complete"),"",SUMIFS($E$32:$E$51,$C$32:$C$51,B484,$I$32:$I$51,"Ready"))</x:f>
      </x:c>
      <x:c r="I484" s="37" t="str">
        <x:f>IF(OR(B484="",$I$6&lt;&gt;"Complete"),"",I483+E484+G484-H484)</x:f>
      </x:c>
      <x:c r="J484" s="37" t="str">
        <x:f>IF(OR(B484="",$I$6&lt;&gt;"Complete"),"",'Inputs'!$C$49)</x:f>
      </x:c>
      <x:c r="K484" s="37" t="str">
        <x:f>IF(OR(B484="",$I$6&lt;&gt;"Complete"),"",I484-J484)</x:f>
      </x:c>
      <x:c r="L484" s="61" t="str">
        <x:f>IF(OR(B484="",$I$6&lt;&gt;"Complete"),"",IF(K484&lt;0,1,0))</x:f>
      </x:c>
    </x:row>
    <x:row r="485" ht="23" customHeight="1">
      <x:c r="A485" s="2"/>
      <x:c r="B485" s="60" t="str">
        <x:f>IF($D$6&lt;&gt;"Complete","",IF('Inputs'!$C$47+415&lt;=$D$9,'Inputs'!$C$47+415,""))</x:f>
      </x:c>
      <x:c r="C485" s="37" t="str">
        <x:f>IF(B485="","",SUMIFS($D$14:$D$23,$C$14:$C$23,B485))</x:f>
      </x:c>
      <x:c r="D485" s="37" t="str">
        <x:f>IF(B485="","",SUMIFS($E$14:$E$23,$C$14:$C$23,B485))</x:f>
      </x:c>
      <x:c r="E485" s="37" t="str">
        <x:f>IF(B485="","",C485-D485)</x:f>
      </x:c>
      <x:c r="F485" s="37" t="str">
        <x:f>IF(B485="","",F484+E485)</x:f>
      </x:c>
      <x:c r="G485" s="37" t="str">
        <x:f>IF(OR(B485="",$I$6&lt;&gt;"Complete"),"",SUMIFS($D$32:$D$51,$C$32:$C$51,B485,$I$32:$I$51,"Ready"))</x:f>
      </x:c>
      <x:c r="H485" s="37" t="str">
        <x:f>IF(OR(B485="",$I$6&lt;&gt;"Complete"),"",SUMIFS($E$32:$E$51,$C$32:$C$51,B485,$I$32:$I$51,"Ready"))</x:f>
      </x:c>
      <x:c r="I485" s="37" t="str">
        <x:f>IF(OR(B485="",$I$6&lt;&gt;"Complete"),"",I484+E485+G485-H485)</x:f>
      </x:c>
      <x:c r="J485" s="37" t="str">
        <x:f>IF(OR(B485="",$I$6&lt;&gt;"Complete"),"",'Inputs'!$C$49)</x:f>
      </x:c>
      <x:c r="K485" s="37" t="str">
        <x:f>IF(OR(B485="",$I$6&lt;&gt;"Complete"),"",I485-J485)</x:f>
      </x:c>
      <x:c r="L485" s="61" t="str">
        <x:f>IF(OR(B485="",$I$6&lt;&gt;"Complete"),"",IF(K485&lt;0,1,0))</x:f>
      </x:c>
    </x:row>
    <x:row r="486" ht="23" customHeight="1">
      <x:c r="A486" s="2"/>
      <x:c r="B486" s="60" t="str">
        <x:f>IF($D$6&lt;&gt;"Complete","",IF('Inputs'!$C$47+416&lt;=$D$9,'Inputs'!$C$47+416,""))</x:f>
      </x:c>
      <x:c r="C486" s="37" t="str">
        <x:f>IF(B486="","",SUMIFS($D$14:$D$23,$C$14:$C$23,B486))</x:f>
      </x:c>
      <x:c r="D486" s="37" t="str">
        <x:f>IF(B486="","",SUMIFS($E$14:$E$23,$C$14:$C$23,B486))</x:f>
      </x:c>
      <x:c r="E486" s="37" t="str">
        <x:f>IF(B486="","",C486-D486)</x:f>
      </x:c>
      <x:c r="F486" s="37" t="str">
        <x:f>IF(B486="","",F485+E486)</x:f>
      </x:c>
      <x:c r="G486" s="37" t="str">
        <x:f>IF(OR(B486="",$I$6&lt;&gt;"Complete"),"",SUMIFS($D$32:$D$51,$C$32:$C$51,B486,$I$32:$I$51,"Ready"))</x:f>
      </x:c>
      <x:c r="H486" s="37" t="str">
        <x:f>IF(OR(B486="",$I$6&lt;&gt;"Complete"),"",SUMIFS($E$32:$E$51,$C$32:$C$51,B486,$I$32:$I$51,"Ready"))</x:f>
      </x:c>
      <x:c r="I486" s="37" t="str">
        <x:f>IF(OR(B486="",$I$6&lt;&gt;"Complete"),"",I485+E486+G486-H486)</x:f>
      </x:c>
      <x:c r="J486" s="37" t="str">
        <x:f>IF(OR(B486="",$I$6&lt;&gt;"Complete"),"",'Inputs'!$C$49)</x:f>
      </x:c>
      <x:c r="K486" s="37" t="str">
        <x:f>IF(OR(B486="",$I$6&lt;&gt;"Complete"),"",I486-J486)</x:f>
      </x:c>
      <x:c r="L486" s="61" t="str">
        <x:f>IF(OR(B486="",$I$6&lt;&gt;"Complete"),"",IF(K486&lt;0,1,0))</x:f>
      </x:c>
    </x:row>
    <x:row r="487" ht="23" customHeight="1">
      <x:c r="A487" s="2"/>
      <x:c r="B487" s="60" t="str">
        <x:f>IF($D$6&lt;&gt;"Complete","",IF('Inputs'!$C$47+417&lt;=$D$9,'Inputs'!$C$47+417,""))</x:f>
      </x:c>
      <x:c r="C487" s="37" t="str">
        <x:f>IF(B487="","",SUMIFS($D$14:$D$23,$C$14:$C$23,B487))</x:f>
      </x:c>
      <x:c r="D487" s="37" t="str">
        <x:f>IF(B487="","",SUMIFS($E$14:$E$23,$C$14:$C$23,B487))</x:f>
      </x:c>
      <x:c r="E487" s="37" t="str">
        <x:f>IF(B487="","",C487-D487)</x:f>
      </x:c>
      <x:c r="F487" s="37" t="str">
        <x:f>IF(B487="","",F486+E487)</x:f>
      </x:c>
      <x:c r="G487" s="37" t="str">
        <x:f>IF(OR(B487="",$I$6&lt;&gt;"Complete"),"",SUMIFS($D$32:$D$51,$C$32:$C$51,B487,$I$32:$I$51,"Ready"))</x:f>
      </x:c>
      <x:c r="H487" s="37" t="str">
        <x:f>IF(OR(B487="",$I$6&lt;&gt;"Complete"),"",SUMIFS($E$32:$E$51,$C$32:$C$51,B487,$I$32:$I$51,"Ready"))</x:f>
      </x:c>
      <x:c r="I487" s="37" t="str">
        <x:f>IF(OR(B487="",$I$6&lt;&gt;"Complete"),"",I486+E487+G487-H487)</x:f>
      </x:c>
      <x:c r="J487" s="37" t="str">
        <x:f>IF(OR(B487="",$I$6&lt;&gt;"Complete"),"",'Inputs'!$C$49)</x:f>
      </x:c>
      <x:c r="K487" s="37" t="str">
        <x:f>IF(OR(B487="",$I$6&lt;&gt;"Complete"),"",I487-J487)</x:f>
      </x:c>
      <x:c r="L487" s="61" t="str">
        <x:f>IF(OR(B487="",$I$6&lt;&gt;"Complete"),"",IF(K487&lt;0,1,0))</x:f>
      </x:c>
    </x:row>
    <x:row r="488" ht="23" customHeight="1">
      <x:c r="A488" s="2"/>
      <x:c r="B488" s="60" t="str">
        <x:f>IF($D$6&lt;&gt;"Complete","",IF('Inputs'!$C$47+418&lt;=$D$9,'Inputs'!$C$47+418,""))</x:f>
      </x:c>
      <x:c r="C488" s="37" t="str">
        <x:f>IF(B488="","",SUMIFS($D$14:$D$23,$C$14:$C$23,B488))</x:f>
      </x:c>
      <x:c r="D488" s="37" t="str">
        <x:f>IF(B488="","",SUMIFS($E$14:$E$23,$C$14:$C$23,B488))</x:f>
      </x:c>
      <x:c r="E488" s="37" t="str">
        <x:f>IF(B488="","",C488-D488)</x:f>
      </x:c>
      <x:c r="F488" s="37" t="str">
        <x:f>IF(B488="","",F487+E488)</x:f>
      </x:c>
      <x:c r="G488" s="37" t="str">
        <x:f>IF(OR(B488="",$I$6&lt;&gt;"Complete"),"",SUMIFS($D$32:$D$51,$C$32:$C$51,B488,$I$32:$I$51,"Ready"))</x:f>
      </x:c>
      <x:c r="H488" s="37" t="str">
        <x:f>IF(OR(B488="",$I$6&lt;&gt;"Complete"),"",SUMIFS($E$32:$E$51,$C$32:$C$51,B488,$I$32:$I$51,"Ready"))</x:f>
      </x:c>
      <x:c r="I488" s="37" t="str">
        <x:f>IF(OR(B488="",$I$6&lt;&gt;"Complete"),"",I487+E488+G488-H488)</x:f>
      </x:c>
      <x:c r="J488" s="37" t="str">
        <x:f>IF(OR(B488="",$I$6&lt;&gt;"Complete"),"",'Inputs'!$C$49)</x:f>
      </x:c>
      <x:c r="K488" s="37" t="str">
        <x:f>IF(OR(B488="",$I$6&lt;&gt;"Complete"),"",I488-J488)</x:f>
      </x:c>
      <x:c r="L488" s="61" t="str">
        <x:f>IF(OR(B488="",$I$6&lt;&gt;"Complete"),"",IF(K488&lt;0,1,0))</x:f>
      </x:c>
    </x:row>
    <x:row r="489" ht="23" customHeight="1">
      <x:c r="A489" s="2"/>
      <x:c r="B489" s="60" t="str">
        <x:f>IF($D$6&lt;&gt;"Complete","",IF('Inputs'!$C$47+419&lt;=$D$9,'Inputs'!$C$47+419,""))</x:f>
      </x:c>
      <x:c r="C489" s="37" t="str">
        <x:f>IF(B489="","",SUMIFS($D$14:$D$23,$C$14:$C$23,B489))</x:f>
      </x:c>
      <x:c r="D489" s="37" t="str">
        <x:f>IF(B489="","",SUMIFS($E$14:$E$23,$C$14:$C$23,B489))</x:f>
      </x:c>
      <x:c r="E489" s="37" t="str">
        <x:f>IF(B489="","",C489-D489)</x:f>
      </x:c>
      <x:c r="F489" s="37" t="str">
        <x:f>IF(B489="","",F488+E489)</x:f>
      </x:c>
      <x:c r="G489" s="37" t="str">
        <x:f>IF(OR(B489="",$I$6&lt;&gt;"Complete"),"",SUMIFS($D$32:$D$51,$C$32:$C$51,B489,$I$32:$I$51,"Ready"))</x:f>
      </x:c>
      <x:c r="H489" s="37" t="str">
        <x:f>IF(OR(B489="",$I$6&lt;&gt;"Complete"),"",SUMIFS($E$32:$E$51,$C$32:$C$51,B489,$I$32:$I$51,"Ready"))</x:f>
      </x:c>
      <x:c r="I489" s="37" t="str">
        <x:f>IF(OR(B489="",$I$6&lt;&gt;"Complete"),"",I488+E489+G489-H489)</x:f>
      </x:c>
      <x:c r="J489" s="37" t="str">
        <x:f>IF(OR(B489="",$I$6&lt;&gt;"Complete"),"",'Inputs'!$C$49)</x:f>
      </x:c>
      <x:c r="K489" s="37" t="str">
        <x:f>IF(OR(B489="",$I$6&lt;&gt;"Complete"),"",I489-J489)</x:f>
      </x:c>
      <x:c r="L489" s="61" t="str">
        <x:f>IF(OR(B489="",$I$6&lt;&gt;"Complete"),"",IF(K489&lt;0,1,0))</x:f>
      </x:c>
    </x:row>
    <x:row r="490" ht="23" customHeight="1">
      <x:c r="A490" s="2"/>
      <x:c r="B490" s="60" t="str">
        <x:f>IF($D$6&lt;&gt;"Complete","",IF('Inputs'!$C$47+420&lt;=$D$9,'Inputs'!$C$47+420,""))</x:f>
      </x:c>
      <x:c r="C490" s="37" t="str">
        <x:f>IF(B490="","",SUMIFS($D$14:$D$23,$C$14:$C$23,B490))</x:f>
      </x:c>
      <x:c r="D490" s="37" t="str">
        <x:f>IF(B490="","",SUMIFS($E$14:$E$23,$C$14:$C$23,B490))</x:f>
      </x:c>
      <x:c r="E490" s="37" t="str">
        <x:f>IF(B490="","",C490-D490)</x:f>
      </x:c>
      <x:c r="F490" s="37" t="str">
        <x:f>IF(B490="","",F489+E490)</x:f>
      </x:c>
      <x:c r="G490" s="37" t="str">
        <x:f>IF(OR(B490="",$I$6&lt;&gt;"Complete"),"",SUMIFS($D$32:$D$51,$C$32:$C$51,B490,$I$32:$I$51,"Ready"))</x:f>
      </x:c>
      <x:c r="H490" s="37" t="str">
        <x:f>IF(OR(B490="",$I$6&lt;&gt;"Complete"),"",SUMIFS($E$32:$E$51,$C$32:$C$51,B490,$I$32:$I$51,"Ready"))</x:f>
      </x:c>
      <x:c r="I490" s="37" t="str">
        <x:f>IF(OR(B490="",$I$6&lt;&gt;"Complete"),"",I489+E490+G490-H490)</x:f>
      </x:c>
      <x:c r="J490" s="37" t="str">
        <x:f>IF(OR(B490="",$I$6&lt;&gt;"Complete"),"",'Inputs'!$C$49)</x:f>
      </x:c>
      <x:c r="K490" s="37" t="str">
        <x:f>IF(OR(B490="",$I$6&lt;&gt;"Complete"),"",I490-J490)</x:f>
      </x:c>
      <x:c r="L490" s="61" t="str">
        <x:f>IF(OR(B490="",$I$6&lt;&gt;"Complete"),"",IF(K490&lt;0,1,0))</x:f>
      </x:c>
    </x:row>
    <x:row r="491" ht="23" customHeight="1">
      <x:c r="A491" s="2"/>
      <x:c r="B491" s="60" t="str">
        <x:f>IF($D$6&lt;&gt;"Complete","",IF('Inputs'!$C$47+421&lt;=$D$9,'Inputs'!$C$47+421,""))</x:f>
      </x:c>
      <x:c r="C491" s="37" t="str">
        <x:f>IF(B491="","",SUMIFS($D$14:$D$23,$C$14:$C$23,B491))</x:f>
      </x:c>
      <x:c r="D491" s="37" t="str">
        <x:f>IF(B491="","",SUMIFS($E$14:$E$23,$C$14:$C$23,B491))</x:f>
      </x:c>
      <x:c r="E491" s="37" t="str">
        <x:f>IF(B491="","",C491-D491)</x:f>
      </x:c>
      <x:c r="F491" s="37" t="str">
        <x:f>IF(B491="","",F490+E491)</x:f>
      </x:c>
      <x:c r="G491" s="37" t="str">
        <x:f>IF(OR(B491="",$I$6&lt;&gt;"Complete"),"",SUMIFS($D$32:$D$51,$C$32:$C$51,B491,$I$32:$I$51,"Ready"))</x:f>
      </x:c>
      <x:c r="H491" s="37" t="str">
        <x:f>IF(OR(B491="",$I$6&lt;&gt;"Complete"),"",SUMIFS($E$32:$E$51,$C$32:$C$51,B491,$I$32:$I$51,"Ready"))</x:f>
      </x:c>
      <x:c r="I491" s="37" t="str">
        <x:f>IF(OR(B491="",$I$6&lt;&gt;"Complete"),"",I490+E491+G491-H491)</x:f>
      </x:c>
      <x:c r="J491" s="37" t="str">
        <x:f>IF(OR(B491="",$I$6&lt;&gt;"Complete"),"",'Inputs'!$C$49)</x:f>
      </x:c>
      <x:c r="K491" s="37" t="str">
        <x:f>IF(OR(B491="",$I$6&lt;&gt;"Complete"),"",I491-J491)</x:f>
      </x:c>
      <x:c r="L491" s="61" t="str">
        <x:f>IF(OR(B491="",$I$6&lt;&gt;"Complete"),"",IF(K491&lt;0,1,0))</x:f>
      </x:c>
    </x:row>
    <x:row r="492" ht="23" customHeight="1">
      <x:c r="A492" s="2"/>
      <x:c r="B492" s="60" t="str">
        <x:f>IF($D$6&lt;&gt;"Complete","",IF('Inputs'!$C$47+422&lt;=$D$9,'Inputs'!$C$47+422,""))</x:f>
      </x:c>
      <x:c r="C492" s="37" t="str">
        <x:f>IF(B492="","",SUMIFS($D$14:$D$23,$C$14:$C$23,B492))</x:f>
      </x:c>
      <x:c r="D492" s="37" t="str">
        <x:f>IF(B492="","",SUMIFS($E$14:$E$23,$C$14:$C$23,B492))</x:f>
      </x:c>
      <x:c r="E492" s="37" t="str">
        <x:f>IF(B492="","",C492-D492)</x:f>
      </x:c>
      <x:c r="F492" s="37" t="str">
        <x:f>IF(B492="","",F491+E492)</x:f>
      </x:c>
      <x:c r="G492" s="37" t="str">
        <x:f>IF(OR(B492="",$I$6&lt;&gt;"Complete"),"",SUMIFS($D$32:$D$51,$C$32:$C$51,B492,$I$32:$I$51,"Ready"))</x:f>
      </x:c>
      <x:c r="H492" s="37" t="str">
        <x:f>IF(OR(B492="",$I$6&lt;&gt;"Complete"),"",SUMIFS($E$32:$E$51,$C$32:$C$51,B492,$I$32:$I$51,"Ready"))</x:f>
      </x:c>
      <x:c r="I492" s="37" t="str">
        <x:f>IF(OR(B492="",$I$6&lt;&gt;"Complete"),"",I491+E492+G492-H492)</x:f>
      </x:c>
      <x:c r="J492" s="37" t="str">
        <x:f>IF(OR(B492="",$I$6&lt;&gt;"Complete"),"",'Inputs'!$C$49)</x:f>
      </x:c>
      <x:c r="K492" s="37" t="str">
        <x:f>IF(OR(B492="",$I$6&lt;&gt;"Complete"),"",I492-J492)</x:f>
      </x:c>
      <x:c r="L492" s="61" t="str">
        <x:f>IF(OR(B492="",$I$6&lt;&gt;"Complete"),"",IF(K492&lt;0,1,0))</x:f>
      </x:c>
    </x:row>
    <x:row r="493" ht="23" customHeight="1">
      <x:c r="A493" s="2"/>
      <x:c r="B493" s="60" t="str">
        <x:f>IF($D$6&lt;&gt;"Complete","",IF('Inputs'!$C$47+423&lt;=$D$9,'Inputs'!$C$47+423,""))</x:f>
      </x:c>
      <x:c r="C493" s="37" t="str">
        <x:f>IF(B493="","",SUMIFS($D$14:$D$23,$C$14:$C$23,B493))</x:f>
      </x:c>
      <x:c r="D493" s="37" t="str">
        <x:f>IF(B493="","",SUMIFS($E$14:$E$23,$C$14:$C$23,B493))</x:f>
      </x:c>
      <x:c r="E493" s="37" t="str">
        <x:f>IF(B493="","",C493-D493)</x:f>
      </x:c>
      <x:c r="F493" s="37" t="str">
        <x:f>IF(B493="","",F492+E493)</x:f>
      </x:c>
      <x:c r="G493" s="37" t="str">
        <x:f>IF(OR(B493="",$I$6&lt;&gt;"Complete"),"",SUMIFS($D$32:$D$51,$C$32:$C$51,B493,$I$32:$I$51,"Ready"))</x:f>
      </x:c>
      <x:c r="H493" s="37" t="str">
        <x:f>IF(OR(B493="",$I$6&lt;&gt;"Complete"),"",SUMIFS($E$32:$E$51,$C$32:$C$51,B493,$I$32:$I$51,"Ready"))</x:f>
      </x:c>
      <x:c r="I493" s="37" t="str">
        <x:f>IF(OR(B493="",$I$6&lt;&gt;"Complete"),"",I492+E493+G493-H493)</x:f>
      </x:c>
      <x:c r="J493" s="37" t="str">
        <x:f>IF(OR(B493="",$I$6&lt;&gt;"Complete"),"",'Inputs'!$C$49)</x:f>
      </x:c>
      <x:c r="K493" s="37" t="str">
        <x:f>IF(OR(B493="",$I$6&lt;&gt;"Complete"),"",I493-J493)</x:f>
      </x:c>
      <x:c r="L493" s="61" t="str">
        <x:f>IF(OR(B493="",$I$6&lt;&gt;"Complete"),"",IF(K493&lt;0,1,0))</x:f>
      </x:c>
    </x:row>
    <x:row r="494" ht="23" customHeight="1">
      <x:c r="A494" s="2"/>
      <x:c r="B494" s="60" t="str">
        <x:f>IF($D$6&lt;&gt;"Complete","",IF('Inputs'!$C$47+424&lt;=$D$9,'Inputs'!$C$47+424,""))</x:f>
      </x:c>
      <x:c r="C494" s="37" t="str">
        <x:f>IF(B494="","",SUMIFS($D$14:$D$23,$C$14:$C$23,B494))</x:f>
      </x:c>
      <x:c r="D494" s="37" t="str">
        <x:f>IF(B494="","",SUMIFS($E$14:$E$23,$C$14:$C$23,B494))</x:f>
      </x:c>
      <x:c r="E494" s="37" t="str">
        <x:f>IF(B494="","",C494-D494)</x:f>
      </x:c>
      <x:c r="F494" s="37" t="str">
        <x:f>IF(B494="","",F493+E494)</x:f>
      </x:c>
      <x:c r="G494" s="37" t="str">
        <x:f>IF(OR(B494="",$I$6&lt;&gt;"Complete"),"",SUMIFS($D$32:$D$51,$C$32:$C$51,B494,$I$32:$I$51,"Ready"))</x:f>
      </x:c>
      <x:c r="H494" s="37" t="str">
        <x:f>IF(OR(B494="",$I$6&lt;&gt;"Complete"),"",SUMIFS($E$32:$E$51,$C$32:$C$51,B494,$I$32:$I$51,"Ready"))</x:f>
      </x:c>
      <x:c r="I494" s="37" t="str">
        <x:f>IF(OR(B494="",$I$6&lt;&gt;"Complete"),"",I493+E494+G494-H494)</x:f>
      </x:c>
      <x:c r="J494" s="37" t="str">
        <x:f>IF(OR(B494="",$I$6&lt;&gt;"Complete"),"",'Inputs'!$C$49)</x:f>
      </x:c>
      <x:c r="K494" s="37" t="str">
        <x:f>IF(OR(B494="",$I$6&lt;&gt;"Complete"),"",I494-J494)</x:f>
      </x:c>
      <x:c r="L494" s="61" t="str">
        <x:f>IF(OR(B494="",$I$6&lt;&gt;"Complete"),"",IF(K494&lt;0,1,0))</x:f>
      </x:c>
    </x:row>
    <x:row r="495" ht="23" customHeight="1">
      <x:c r="A495" s="2"/>
      <x:c r="B495" s="60" t="str">
        <x:f>IF($D$6&lt;&gt;"Complete","",IF('Inputs'!$C$47+425&lt;=$D$9,'Inputs'!$C$47+425,""))</x:f>
      </x:c>
      <x:c r="C495" s="37" t="str">
        <x:f>IF(B495="","",SUMIFS($D$14:$D$23,$C$14:$C$23,B495))</x:f>
      </x:c>
      <x:c r="D495" s="37" t="str">
        <x:f>IF(B495="","",SUMIFS($E$14:$E$23,$C$14:$C$23,B495))</x:f>
      </x:c>
      <x:c r="E495" s="37" t="str">
        <x:f>IF(B495="","",C495-D495)</x:f>
      </x:c>
      <x:c r="F495" s="37" t="str">
        <x:f>IF(B495="","",F494+E495)</x:f>
      </x:c>
      <x:c r="G495" s="37" t="str">
        <x:f>IF(OR(B495="",$I$6&lt;&gt;"Complete"),"",SUMIFS($D$32:$D$51,$C$32:$C$51,B495,$I$32:$I$51,"Ready"))</x:f>
      </x:c>
      <x:c r="H495" s="37" t="str">
        <x:f>IF(OR(B495="",$I$6&lt;&gt;"Complete"),"",SUMIFS($E$32:$E$51,$C$32:$C$51,B495,$I$32:$I$51,"Ready"))</x:f>
      </x:c>
      <x:c r="I495" s="37" t="str">
        <x:f>IF(OR(B495="",$I$6&lt;&gt;"Complete"),"",I494+E495+G495-H495)</x:f>
      </x:c>
      <x:c r="J495" s="37" t="str">
        <x:f>IF(OR(B495="",$I$6&lt;&gt;"Complete"),"",'Inputs'!$C$49)</x:f>
      </x:c>
      <x:c r="K495" s="37" t="str">
        <x:f>IF(OR(B495="",$I$6&lt;&gt;"Complete"),"",I495-J495)</x:f>
      </x:c>
      <x:c r="L495" s="61" t="str">
        <x:f>IF(OR(B495="",$I$6&lt;&gt;"Complete"),"",IF(K495&lt;0,1,0))</x:f>
      </x:c>
    </x:row>
    <x:row r="496" ht="23" customHeight="1">
      <x:c r="A496" s="2"/>
      <x:c r="B496" s="60" t="str">
        <x:f>IF($D$6&lt;&gt;"Complete","",IF('Inputs'!$C$47+426&lt;=$D$9,'Inputs'!$C$47+426,""))</x:f>
      </x:c>
      <x:c r="C496" s="37" t="str">
        <x:f>IF(B496="","",SUMIFS($D$14:$D$23,$C$14:$C$23,B496))</x:f>
      </x:c>
      <x:c r="D496" s="37" t="str">
        <x:f>IF(B496="","",SUMIFS($E$14:$E$23,$C$14:$C$23,B496))</x:f>
      </x:c>
      <x:c r="E496" s="37" t="str">
        <x:f>IF(B496="","",C496-D496)</x:f>
      </x:c>
      <x:c r="F496" s="37" t="str">
        <x:f>IF(B496="","",F495+E496)</x:f>
      </x:c>
      <x:c r="G496" s="37" t="str">
        <x:f>IF(OR(B496="",$I$6&lt;&gt;"Complete"),"",SUMIFS($D$32:$D$51,$C$32:$C$51,B496,$I$32:$I$51,"Ready"))</x:f>
      </x:c>
      <x:c r="H496" s="37" t="str">
        <x:f>IF(OR(B496="",$I$6&lt;&gt;"Complete"),"",SUMIFS($E$32:$E$51,$C$32:$C$51,B496,$I$32:$I$51,"Ready"))</x:f>
      </x:c>
      <x:c r="I496" s="37" t="str">
        <x:f>IF(OR(B496="",$I$6&lt;&gt;"Complete"),"",I495+E496+G496-H496)</x:f>
      </x:c>
      <x:c r="J496" s="37" t="str">
        <x:f>IF(OR(B496="",$I$6&lt;&gt;"Complete"),"",'Inputs'!$C$49)</x:f>
      </x:c>
      <x:c r="K496" s="37" t="str">
        <x:f>IF(OR(B496="",$I$6&lt;&gt;"Complete"),"",I496-J496)</x:f>
      </x:c>
      <x:c r="L496" s="61" t="str">
        <x:f>IF(OR(B496="",$I$6&lt;&gt;"Complete"),"",IF(K496&lt;0,1,0))</x:f>
      </x:c>
    </x:row>
    <x:row r="497" ht="23" customHeight="1">
      <x:c r="A497" s="2"/>
      <x:c r="B497" s="60" t="str">
        <x:f>IF($D$6&lt;&gt;"Complete","",IF('Inputs'!$C$47+427&lt;=$D$9,'Inputs'!$C$47+427,""))</x:f>
      </x:c>
      <x:c r="C497" s="37" t="str">
        <x:f>IF(B497="","",SUMIFS($D$14:$D$23,$C$14:$C$23,B497))</x:f>
      </x:c>
      <x:c r="D497" s="37" t="str">
        <x:f>IF(B497="","",SUMIFS($E$14:$E$23,$C$14:$C$23,B497))</x:f>
      </x:c>
      <x:c r="E497" s="37" t="str">
        <x:f>IF(B497="","",C497-D497)</x:f>
      </x:c>
      <x:c r="F497" s="37" t="str">
        <x:f>IF(B497="","",F496+E497)</x:f>
      </x:c>
      <x:c r="G497" s="37" t="str">
        <x:f>IF(OR(B497="",$I$6&lt;&gt;"Complete"),"",SUMIFS($D$32:$D$51,$C$32:$C$51,B497,$I$32:$I$51,"Ready"))</x:f>
      </x:c>
      <x:c r="H497" s="37" t="str">
        <x:f>IF(OR(B497="",$I$6&lt;&gt;"Complete"),"",SUMIFS($E$32:$E$51,$C$32:$C$51,B497,$I$32:$I$51,"Ready"))</x:f>
      </x:c>
      <x:c r="I497" s="37" t="str">
        <x:f>IF(OR(B497="",$I$6&lt;&gt;"Complete"),"",I496+E497+G497-H497)</x:f>
      </x:c>
      <x:c r="J497" s="37" t="str">
        <x:f>IF(OR(B497="",$I$6&lt;&gt;"Complete"),"",'Inputs'!$C$49)</x:f>
      </x:c>
      <x:c r="K497" s="37" t="str">
        <x:f>IF(OR(B497="",$I$6&lt;&gt;"Complete"),"",I497-J497)</x:f>
      </x:c>
      <x:c r="L497" s="61" t="str">
        <x:f>IF(OR(B497="",$I$6&lt;&gt;"Complete"),"",IF(K497&lt;0,1,0))</x:f>
      </x:c>
    </x:row>
    <x:row r="498" ht="23" customHeight="1">
      <x:c r="A498" s="2"/>
      <x:c r="B498" s="60" t="str">
        <x:f>IF($D$6&lt;&gt;"Complete","",IF('Inputs'!$C$47+428&lt;=$D$9,'Inputs'!$C$47+428,""))</x:f>
      </x:c>
      <x:c r="C498" s="37" t="str">
        <x:f>IF(B498="","",SUMIFS($D$14:$D$23,$C$14:$C$23,B498))</x:f>
      </x:c>
      <x:c r="D498" s="37" t="str">
        <x:f>IF(B498="","",SUMIFS($E$14:$E$23,$C$14:$C$23,B498))</x:f>
      </x:c>
      <x:c r="E498" s="37" t="str">
        <x:f>IF(B498="","",C498-D498)</x:f>
      </x:c>
      <x:c r="F498" s="37" t="str">
        <x:f>IF(B498="","",F497+E498)</x:f>
      </x:c>
      <x:c r="G498" s="37" t="str">
        <x:f>IF(OR(B498="",$I$6&lt;&gt;"Complete"),"",SUMIFS($D$32:$D$51,$C$32:$C$51,B498,$I$32:$I$51,"Ready"))</x:f>
      </x:c>
      <x:c r="H498" s="37" t="str">
        <x:f>IF(OR(B498="",$I$6&lt;&gt;"Complete"),"",SUMIFS($E$32:$E$51,$C$32:$C$51,B498,$I$32:$I$51,"Ready"))</x:f>
      </x:c>
      <x:c r="I498" s="37" t="str">
        <x:f>IF(OR(B498="",$I$6&lt;&gt;"Complete"),"",I497+E498+G498-H498)</x:f>
      </x:c>
      <x:c r="J498" s="37" t="str">
        <x:f>IF(OR(B498="",$I$6&lt;&gt;"Complete"),"",'Inputs'!$C$49)</x:f>
      </x:c>
      <x:c r="K498" s="37" t="str">
        <x:f>IF(OR(B498="",$I$6&lt;&gt;"Complete"),"",I498-J498)</x:f>
      </x:c>
      <x:c r="L498" s="61" t="str">
        <x:f>IF(OR(B498="",$I$6&lt;&gt;"Complete"),"",IF(K498&lt;0,1,0))</x:f>
      </x:c>
    </x:row>
    <x:row r="499" ht="23" customHeight="1">
      <x:c r="A499" s="2"/>
      <x:c r="B499" s="60" t="str">
        <x:f>IF($D$6&lt;&gt;"Complete","",IF('Inputs'!$C$47+429&lt;=$D$9,'Inputs'!$C$47+429,""))</x:f>
      </x:c>
      <x:c r="C499" s="37" t="str">
        <x:f>IF(B499="","",SUMIFS($D$14:$D$23,$C$14:$C$23,B499))</x:f>
      </x:c>
      <x:c r="D499" s="37" t="str">
        <x:f>IF(B499="","",SUMIFS($E$14:$E$23,$C$14:$C$23,B499))</x:f>
      </x:c>
      <x:c r="E499" s="37" t="str">
        <x:f>IF(B499="","",C499-D499)</x:f>
      </x:c>
      <x:c r="F499" s="37" t="str">
        <x:f>IF(B499="","",F498+E499)</x:f>
      </x:c>
      <x:c r="G499" s="37" t="str">
        <x:f>IF(OR(B499="",$I$6&lt;&gt;"Complete"),"",SUMIFS($D$32:$D$51,$C$32:$C$51,B499,$I$32:$I$51,"Ready"))</x:f>
      </x:c>
      <x:c r="H499" s="37" t="str">
        <x:f>IF(OR(B499="",$I$6&lt;&gt;"Complete"),"",SUMIFS($E$32:$E$51,$C$32:$C$51,B499,$I$32:$I$51,"Ready"))</x:f>
      </x:c>
      <x:c r="I499" s="37" t="str">
        <x:f>IF(OR(B499="",$I$6&lt;&gt;"Complete"),"",I498+E499+G499-H499)</x:f>
      </x:c>
      <x:c r="J499" s="37" t="str">
        <x:f>IF(OR(B499="",$I$6&lt;&gt;"Complete"),"",'Inputs'!$C$49)</x:f>
      </x:c>
      <x:c r="K499" s="37" t="str">
        <x:f>IF(OR(B499="",$I$6&lt;&gt;"Complete"),"",I499-J499)</x:f>
      </x:c>
      <x:c r="L499" s="61" t="str">
        <x:f>IF(OR(B499="",$I$6&lt;&gt;"Complete"),"",IF(K499&lt;0,1,0))</x:f>
      </x:c>
    </x:row>
    <x:row r="500" ht="23" customHeight="1">
      <x:c r="A500" s="2"/>
      <x:c r="B500" s="60" t="str">
        <x:f>IF($D$6&lt;&gt;"Complete","",IF('Inputs'!$C$47+430&lt;=$D$9,'Inputs'!$C$47+430,""))</x:f>
      </x:c>
      <x:c r="C500" s="37" t="str">
        <x:f>IF(B500="","",SUMIFS($D$14:$D$23,$C$14:$C$23,B500))</x:f>
      </x:c>
      <x:c r="D500" s="37" t="str">
        <x:f>IF(B500="","",SUMIFS($E$14:$E$23,$C$14:$C$23,B500))</x:f>
      </x:c>
      <x:c r="E500" s="37" t="str">
        <x:f>IF(B500="","",C500-D500)</x:f>
      </x:c>
      <x:c r="F500" s="37" t="str">
        <x:f>IF(B500="","",F499+E500)</x:f>
      </x:c>
      <x:c r="G500" s="37" t="str">
        <x:f>IF(OR(B500="",$I$6&lt;&gt;"Complete"),"",SUMIFS($D$32:$D$51,$C$32:$C$51,B500,$I$32:$I$51,"Ready"))</x:f>
      </x:c>
      <x:c r="H500" s="37" t="str">
        <x:f>IF(OR(B500="",$I$6&lt;&gt;"Complete"),"",SUMIFS($E$32:$E$51,$C$32:$C$51,B500,$I$32:$I$51,"Ready"))</x:f>
      </x:c>
      <x:c r="I500" s="37" t="str">
        <x:f>IF(OR(B500="",$I$6&lt;&gt;"Complete"),"",I499+E500+G500-H500)</x:f>
      </x:c>
      <x:c r="J500" s="37" t="str">
        <x:f>IF(OR(B500="",$I$6&lt;&gt;"Complete"),"",'Inputs'!$C$49)</x:f>
      </x:c>
      <x:c r="K500" s="37" t="str">
        <x:f>IF(OR(B500="",$I$6&lt;&gt;"Complete"),"",I500-J500)</x:f>
      </x:c>
      <x:c r="L500" s="61" t="str">
        <x:f>IF(OR(B500="",$I$6&lt;&gt;"Complete"),"",IF(K500&lt;0,1,0))</x:f>
      </x:c>
    </x:row>
    <x:row r="501" ht="23" customHeight="1">
      <x:c r="A501" s="2"/>
      <x:c r="B501" s="60" t="str">
        <x:f>IF($D$6&lt;&gt;"Complete","",IF('Inputs'!$C$47+431&lt;=$D$9,'Inputs'!$C$47+431,""))</x:f>
      </x:c>
      <x:c r="C501" s="37" t="str">
        <x:f>IF(B501="","",SUMIFS($D$14:$D$23,$C$14:$C$23,B501))</x:f>
      </x:c>
      <x:c r="D501" s="37" t="str">
        <x:f>IF(B501="","",SUMIFS($E$14:$E$23,$C$14:$C$23,B501))</x:f>
      </x:c>
      <x:c r="E501" s="37" t="str">
        <x:f>IF(B501="","",C501-D501)</x:f>
      </x:c>
      <x:c r="F501" s="37" t="str">
        <x:f>IF(B501="","",F500+E501)</x:f>
      </x:c>
      <x:c r="G501" s="37" t="str">
        <x:f>IF(OR(B501="",$I$6&lt;&gt;"Complete"),"",SUMIFS($D$32:$D$51,$C$32:$C$51,B501,$I$32:$I$51,"Ready"))</x:f>
      </x:c>
      <x:c r="H501" s="37" t="str">
        <x:f>IF(OR(B501="",$I$6&lt;&gt;"Complete"),"",SUMIFS($E$32:$E$51,$C$32:$C$51,B501,$I$32:$I$51,"Ready"))</x:f>
      </x:c>
      <x:c r="I501" s="37" t="str">
        <x:f>IF(OR(B501="",$I$6&lt;&gt;"Complete"),"",I500+E501+G501-H501)</x:f>
      </x:c>
      <x:c r="J501" s="37" t="str">
        <x:f>IF(OR(B501="",$I$6&lt;&gt;"Complete"),"",'Inputs'!$C$49)</x:f>
      </x:c>
      <x:c r="K501" s="37" t="str">
        <x:f>IF(OR(B501="",$I$6&lt;&gt;"Complete"),"",I501-J501)</x:f>
      </x:c>
      <x:c r="L501" s="61" t="str">
        <x:f>IF(OR(B501="",$I$6&lt;&gt;"Complete"),"",IF(K501&lt;0,1,0))</x:f>
      </x:c>
    </x:row>
    <x:row r="502" ht="23" customHeight="1">
      <x:c r="A502" s="2"/>
      <x:c r="B502" s="60" t="str">
        <x:f>IF($D$6&lt;&gt;"Complete","",IF('Inputs'!$C$47+432&lt;=$D$9,'Inputs'!$C$47+432,""))</x:f>
      </x:c>
      <x:c r="C502" s="37" t="str">
        <x:f>IF(B502="","",SUMIFS($D$14:$D$23,$C$14:$C$23,B502))</x:f>
      </x:c>
      <x:c r="D502" s="37" t="str">
        <x:f>IF(B502="","",SUMIFS($E$14:$E$23,$C$14:$C$23,B502))</x:f>
      </x:c>
      <x:c r="E502" s="37" t="str">
        <x:f>IF(B502="","",C502-D502)</x:f>
      </x:c>
      <x:c r="F502" s="37" t="str">
        <x:f>IF(B502="","",F501+E502)</x:f>
      </x:c>
      <x:c r="G502" s="37" t="str">
        <x:f>IF(OR(B502="",$I$6&lt;&gt;"Complete"),"",SUMIFS($D$32:$D$51,$C$32:$C$51,B502,$I$32:$I$51,"Ready"))</x:f>
      </x:c>
      <x:c r="H502" s="37" t="str">
        <x:f>IF(OR(B502="",$I$6&lt;&gt;"Complete"),"",SUMIFS($E$32:$E$51,$C$32:$C$51,B502,$I$32:$I$51,"Ready"))</x:f>
      </x:c>
      <x:c r="I502" s="37" t="str">
        <x:f>IF(OR(B502="",$I$6&lt;&gt;"Complete"),"",I501+E502+G502-H502)</x:f>
      </x:c>
      <x:c r="J502" s="37" t="str">
        <x:f>IF(OR(B502="",$I$6&lt;&gt;"Complete"),"",'Inputs'!$C$49)</x:f>
      </x:c>
      <x:c r="K502" s="37" t="str">
        <x:f>IF(OR(B502="",$I$6&lt;&gt;"Complete"),"",I502-J502)</x:f>
      </x:c>
      <x:c r="L502" s="61" t="str">
        <x:f>IF(OR(B502="",$I$6&lt;&gt;"Complete"),"",IF(K502&lt;0,1,0))</x:f>
      </x:c>
    </x:row>
    <x:row r="503" ht="23" customHeight="1">
      <x:c r="A503" s="2"/>
      <x:c r="B503" s="60" t="str">
        <x:f>IF($D$6&lt;&gt;"Complete","",IF('Inputs'!$C$47+433&lt;=$D$9,'Inputs'!$C$47+433,""))</x:f>
      </x:c>
      <x:c r="C503" s="37" t="str">
        <x:f>IF(B503="","",SUMIFS($D$14:$D$23,$C$14:$C$23,B503))</x:f>
      </x:c>
      <x:c r="D503" s="37" t="str">
        <x:f>IF(B503="","",SUMIFS($E$14:$E$23,$C$14:$C$23,B503))</x:f>
      </x:c>
      <x:c r="E503" s="37" t="str">
        <x:f>IF(B503="","",C503-D503)</x:f>
      </x:c>
      <x:c r="F503" s="37" t="str">
        <x:f>IF(B503="","",F502+E503)</x:f>
      </x:c>
      <x:c r="G503" s="37" t="str">
        <x:f>IF(OR(B503="",$I$6&lt;&gt;"Complete"),"",SUMIFS($D$32:$D$51,$C$32:$C$51,B503,$I$32:$I$51,"Ready"))</x:f>
      </x:c>
      <x:c r="H503" s="37" t="str">
        <x:f>IF(OR(B503="",$I$6&lt;&gt;"Complete"),"",SUMIFS($E$32:$E$51,$C$32:$C$51,B503,$I$32:$I$51,"Ready"))</x:f>
      </x:c>
      <x:c r="I503" s="37" t="str">
        <x:f>IF(OR(B503="",$I$6&lt;&gt;"Complete"),"",I502+E503+G503-H503)</x:f>
      </x:c>
      <x:c r="J503" s="37" t="str">
        <x:f>IF(OR(B503="",$I$6&lt;&gt;"Complete"),"",'Inputs'!$C$49)</x:f>
      </x:c>
      <x:c r="K503" s="37" t="str">
        <x:f>IF(OR(B503="",$I$6&lt;&gt;"Complete"),"",I503-J503)</x:f>
      </x:c>
      <x:c r="L503" s="61" t="str">
        <x:f>IF(OR(B503="",$I$6&lt;&gt;"Complete"),"",IF(K503&lt;0,1,0))</x:f>
      </x:c>
    </x:row>
    <x:row r="504" ht="23" customHeight="1">
      <x:c r="A504" s="2"/>
      <x:c r="B504" s="60" t="str">
        <x:f>IF($D$6&lt;&gt;"Complete","",IF('Inputs'!$C$47+434&lt;=$D$9,'Inputs'!$C$47+434,""))</x:f>
      </x:c>
      <x:c r="C504" s="37" t="str">
        <x:f>IF(B504="","",SUMIFS($D$14:$D$23,$C$14:$C$23,B504))</x:f>
      </x:c>
      <x:c r="D504" s="37" t="str">
        <x:f>IF(B504="","",SUMIFS($E$14:$E$23,$C$14:$C$23,B504))</x:f>
      </x:c>
      <x:c r="E504" s="37" t="str">
        <x:f>IF(B504="","",C504-D504)</x:f>
      </x:c>
      <x:c r="F504" s="37" t="str">
        <x:f>IF(B504="","",F503+E504)</x:f>
      </x:c>
      <x:c r="G504" s="37" t="str">
        <x:f>IF(OR(B504="",$I$6&lt;&gt;"Complete"),"",SUMIFS($D$32:$D$51,$C$32:$C$51,B504,$I$32:$I$51,"Ready"))</x:f>
      </x:c>
      <x:c r="H504" s="37" t="str">
        <x:f>IF(OR(B504="",$I$6&lt;&gt;"Complete"),"",SUMIFS($E$32:$E$51,$C$32:$C$51,B504,$I$32:$I$51,"Ready"))</x:f>
      </x:c>
      <x:c r="I504" s="37" t="str">
        <x:f>IF(OR(B504="",$I$6&lt;&gt;"Complete"),"",I503+E504+G504-H504)</x:f>
      </x:c>
      <x:c r="J504" s="37" t="str">
        <x:f>IF(OR(B504="",$I$6&lt;&gt;"Complete"),"",'Inputs'!$C$49)</x:f>
      </x:c>
      <x:c r="K504" s="37" t="str">
        <x:f>IF(OR(B504="",$I$6&lt;&gt;"Complete"),"",I504-J504)</x:f>
      </x:c>
      <x:c r="L504" s="61" t="str">
        <x:f>IF(OR(B504="",$I$6&lt;&gt;"Complete"),"",IF(K504&lt;0,1,0))</x:f>
      </x:c>
    </x:row>
    <x:row r="505" ht="23" customHeight="1">
      <x:c r="A505" s="2"/>
      <x:c r="B505" s="60" t="str">
        <x:f>IF($D$6&lt;&gt;"Complete","",IF('Inputs'!$C$47+435&lt;=$D$9,'Inputs'!$C$47+435,""))</x:f>
      </x:c>
      <x:c r="C505" s="37" t="str">
        <x:f>IF(B505="","",SUMIFS($D$14:$D$23,$C$14:$C$23,B505))</x:f>
      </x:c>
      <x:c r="D505" s="37" t="str">
        <x:f>IF(B505="","",SUMIFS($E$14:$E$23,$C$14:$C$23,B505))</x:f>
      </x:c>
      <x:c r="E505" s="37" t="str">
        <x:f>IF(B505="","",C505-D505)</x:f>
      </x:c>
      <x:c r="F505" s="37" t="str">
        <x:f>IF(B505="","",F504+E505)</x:f>
      </x:c>
      <x:c r="G505" s="37" t="str">
        <x:f>IF(OR(B505="",$I$6&lt;&gt;"Complete"),"",SUMIFS($D$32:$D$51,$C$32:$C$51,B505,$I$32:$I$51,"Ready"))</x:f>
      </x:c>
      <x:c r="H505" s="37" t="str">
        <x:f>IF(OR(B505="",$I$6&lt;&gt;"Complete"),"",SUMIFS($E$32:$E$51,$C$32:$C$51,B505,$I$32:$I$51,"Ready"))</x:f>
      </x:c>
      <x:c r="I505" s="37" t="str">
        <x:f>IF(OR(B505="",$I$6&lt;&gt;"Complete"),"",I504+E505+G505-H505)</x:f>
      </x:c>
      <x:c r="J505" s="37" t="str">
        <x:f>IF(OR(B505="",$I$6&lt;&gt;"Complete"),"",'Inputs'!$C$49)</x:f>
      </x:c>
      <x:c r="K505" s="37" t="str">
        <x:f>IF(OR(B505="",$I$6&lt;&gt;"Complete"),"",I505-J505)</x:f>
      </x:c>
      <x:c r="L505" s="61" t="str">
        <x:f>IF(OR(B505="",$I$6&lt;&gt;"Complete"),"",IF(K505&lt;0,1,0))</x:f>
      </x:c>
    </x:row>
    <x:row r="506" ht="23" customHeight="1">
      <x:c r="A506" s="2"/>
      <x:c r="B506" s="60" t="str">
        <x:f>IF($D$6&lt;&gt;"Complete","",IF('Inputs'!$C$47+436&lt;=$D$9,'Inputs'!$C$47+436,""))</x:f>
      </x:c>
      <x:c r="C506" s="37" t="str">
        <x:f>IF(B506="","",SUMIFS($D$14:$D$23,$C$14:$C$23,B506))</x:f>
      </x:c>
      <x:c r="D506" s="37" t="str">
        <x:f>IF(B506="","",SUMIFS($E$14:$E$23,$C$14:$C$23,B506))</x:f>
      </x:c>
      <x:c r="E506" s="37" t="str">
        <x:f>IF(B506="","",C506-D506)</x:f>
      </x:c>
      <x:c r="F506" s="37" t="str">
        <x:f>IF(B506="","",F505+E506)</x:f>
      </x:c>
      <x:c r="G506" s="37" t="str">
        <x:f>IF(OR(B506="",$I$6&lt;&gt;"Complete"),"",SUMIFS($D$32:$D$51,$C$32:$C$51,B506,$I$32:$I$51,"Ready"))</x:f>
      </x:c>
      <x:c r="H506" s="37" t="str">
        <x:f>IF(OR(B506="",$I$6&lt;&gt;"Complete"),"",SUMIFS($E$32:$E$51,$C$32:$C$51,B506,$I$32:$I$51,"Ready"))</x:f>
      </x:c>
      <x:c r="I506" s="37" t="str">
        <x:f>IF(OR(B506="",$I$6&lt;&gt;"Complete"),"",I505+E506+G506-H506)</x:f>
      </x:c>
      <x:c r="J506" s="37" t="str">
        <x:f>IF(OR(B506="",$I$6&lt;&gt;"Complete"),"",'Inputs'!$C$49)</x:f>
      </x:c>
      <x:c r="K506" s="37" t="str">
        <x:f>IF(OR(B506="",$I$6&lt;&gt;"Complete"),"",I506-J506)</x:f>
      </x:c>
      <x:c r="L506" s="61" t="str">
        <x:f>IF(OR(B506="",$I$6&lt;&gt;"Complete"),"",IF(K506&lt;0,1,0))</x:f>
      </x:c>
    </x:row>
    <x:row r="507" ht="23" customHeight="1">
      <x:c r="A507" s="2"/>
      <x:c r="B507" s="60" t="str">
        <x:f>IF($D$6&lt;&gt;"Complete","",IF('Inputs'!$C$47+437&lt;=$D$9,'Inputs'!$C$47+437,""))</x:f>
      </x:c>
      <x:c r="C507" s="37" t="str">
        <x:f>IF(B507="","",SUMIFS($D$14:$D$23,$C$14:$C$23,B507))</x:f>
      </x:c>
      <x:c r="D507" s="37" t="str">
        <x:f>IF(B507="","",SUMIFS($E$14:$E$23,$C$14:$C$23,B507))</x:f>
      </x:c>
      <x:c r="E507" s="37" t="str">
        <x:f>IF(B507="","",C507-D507)</x:f>
      </x:c>
      <x:c r="F507" s="37" t="str">
        <x:f>IF(B507="","",F506+E507)</x:f>
      </x:c>
      <x:c r="G507" s="37" t="str">
        <x:f>IF(OR(B507="",$I$6&lt;&gt;"Complete"),"",SUMIFS($D$32:$D$51,$C$32:$C$51,B507,$I$32:$I$51,"Ready"))</x:f>
      </x:c>
      <x:c r="H507" s="37" t="str">
        <x:f>IF(OR(B507="",$I$6&lt;&gt;"Complete"),"",SUMIFS($E$32:$E$51,$C$32:$C$51,B507,$I$32:$I$51,"Ready"))</x:f>
      </x:c>
      <x:c r="I507" s="37" t="str">
        <x:f>IF(OR(B507="",$I$6&lt;&gt;"Complete"),"",I506+E507+G507-H507)</x:f>
      </x:c>
      <x:c r="J507" s="37" t="str">
        <x:f>IF(OR(B507="",$I$6&lt;&gt;"Complete"),"",'Inputs'!$C$49)</x:f>
      </x:c>
      <x:c r="K507" s="37" t="str">
        <x:f>IF(OR(B507="",$I$6&lt;&gt;"Complete"),"",I507-J507)</x:f>
      </x:c>
      <x:c r="L507" s="61" t="str">
        <x:f>IF(OR(B507="",$I$6&lt;&gt;"Complete"),"",IF(K507&lt;0,1,0))</x:f>
      </x:c>
    </x:row>
    <x:row r="508" ht="23" customHeight="1">
      <x:c r="A508" s="2"/>
      <x:c r="B508" s="60" t="str">
        <x:f>IF($D$6&lt;&gt;"Complete","",IF('Inputs'!$C$47+438&lt;=$D$9,'Inputs'!$C$47+438,""))</x:f>
      </x:c>
      <x:c r="C508" s="37" t="str">
        <x:f>IF(B508="","",SUMIFS($D$14:$D$23,$C$14:$C$23,B508))</x:f>
      </x:c>
      <x:c r="D508" s="37" t="str">
        <x:f>IF(B508="","",SUMIFS($E$14:$E$23,$C$14:$C$23,B508))</x:f>
      </x:c>
      <x:c r="E508" s="37" t="str">
        <x:f>IF(B508="","",C508-D508)</x:f>
      </x:c>
      <x:c r="F508" s="37" t="str">
        <x:f>IF(B508="","",F507+E508)</x:f>
      </x:c>
      <x:c r="G508" s="37" t="str">
        <x:f>IF(OR(B508="",$I$6&lt;&gt;"Complete"),"",SUMIFS($D$32:$D$51,$C$32:$C$51,B508,$I$32:$I$51,"Ready"))</x:f>
      </x:c>
      <x:c r="H508" s="37" t="str">
        <x:f>IF(OR(B508="",$I$6&lt;&gt;"Complete"),"",SUMIFS($E$32:$E$51,$C$32:$C$51,B508,$I$32:$I$51,"Ready"))</x:f>
      </x:c>
      <x:c r="I508" s="37" t="str">
        <x:f>IF(OR(B508="",$I$6&lt;&gt;"Complete"),"",I507+E508+G508-H508)</x:f>
      </x:c>
      <x:c r="J508" s="37" t="str">
        <x:f>IF(OR(B508="",$I$6&lt;&gt;"Complete"),"",'Inputs'!$C$49)</x:f>
      </x:c>
      <x:c r="K508" s="37" t="str">
        <x:f>IF(OR(B508="",$I$6&lt;&gt;"Complete"),"",I508-J508)</x:f>
      </x:c>
      <x:c r="L508" s="61" t="str">
        <x:f>IF(OR(B508="",$I$6&lt;&gt;"Complete"),"",IF(K508&lt;0,1,0))</x:f>
      </x:c>
    </x:row>
    <x:row r="509" ht="23" customHeight="1">
      <x:c r="A509" s="2"/>
      <x:c r="B509" s="60" t="str">
        <x:f>IF($D$6&lt;&gt;"Complete","",IF('Inputs'!$C$47+439&lt;=$D$9,'Inputs'!$C$47+439,""))</x:f>
      </x:c>
      <x:c r="C509" s="37" t="str">
        <x:f>IF(B509="","",SUMIFS($D$14:$D$23,$C$14:$C$23,B509))</x:f>
      </x:c>
      <x:c r="D509" s="37" t="str">
        <x:f>IF(B509="","",SUMIFS($E$14:$E$23,$C$14:$C$23,B509))</x:f>
      </x:c>
      <x:c r="E509" s="37" t="str">
        <x:f>IF(B509="","",C509-D509)</x:f>
      </x:c>
      <x:c r="F509" s="37" t="str">
        <x:f>IF(B509="","",F508+E509)</x:f>
      </x:c>
      <x:c r="G509" s="37" t="str">
        <x:f>IF(OR(B509="",$I$6&lt;&gt;"Complete"),"",SUMIFS($D$32:$D$51,$C$32:$C$51,B509,$I$32:$I$51,"Ready"))</x:f>
      </x:c>
      <x:c r="H509" s="37" t="str">
        <x:f>IF(OR(B509="",$I$6&lt;&gt;"Complete"),"",SUMIFS($E$32:$E$51,$C$32:$C$51,B509,$I$32:$I$51,"Ready"))</x:f>
      </x:c>
      <x:c r="I509" s="37" t="str">
        <x:f>IF(OR(B509="",$I$6&lt;&gt;"Complete"),"",I508+E509+G509-H509)</x:f>
      </x:c>
      <x:c r="J509" s="37" t="str">
        <x:f>IF(OR(B509="",$I$6&lt;&gt;"Complete"),"",'Inputs'!$C$49)</x:f>
      </x:c>
      <x:c r="K509" s="37" t="str">
        <x:f>IF(OR(B509="",$I$6&lt;&gt;"Complete"),"",I509-J509)</x:f>
      </x:c>
      <x:c r="L509" s="61" t="str">
        <x:f>IF(OR(B509="",$I$6&lt;&gt;"Complete"),"",IF(K509&lt;0,1,0))</x:f>
      </x:c>
    </x:row>
    <x:row r="510" ht="23" customHeight="1">
      <x:c r="A510" s="2"/>
      <x:c r="B510" s="60" t="str">
        <x:f>IF($D$6&lt;&gt;"Complete","",IF('Inputs'!$C$47+440&lt;=$D$9,'Inputs'!$C$47+440,""))</x:f>
      </x:c>
      <x:c r="C510" s="37" t="str">
        <x:f>IF(B510="","",SUMIFS($D$14:$D$23,$C$14:$C$23,B510))</x:f>
      </x:c>
      <x:c r="D510" s="37" t="str">
        <x:f>IF(B510="","",SUMIFS($E$14:$E$23,$C$14:$C$23,B510))</x:f>
      </x:c>
      <x:c r="E510" s="37" t="str">
        <x:f>IF(B510="","",C510-D510)</x:f>
      </x:c>
      <x:c r="F510" s="37" t="str">
        <x:f>IF(B510="","",F509+E510)</x:f>
      </x:c>
      <x:c r="G510" s="37" t="str">
        <x:f>IF(OR(B510="",$I$6&lt;&gt;"Complete"),"",SUMIFS($D$32:$D$51,$C$32:$C$51,B510,$I$32:$I$51,"Ready"))</x:f>
      </x:c>
      <x:c r="H510" s="37" t="str">
        <x:f>IF(OR(B510="",$I$6&lt;&gt;"Complete"),"",SUMIFS($E$32:$E$51,$C$32:$C$51,B510,$I$32:$I$51,"Ready"))</x:f>
      </x:c>
      <x:c r="I510" s="37" t="str">
        <x:f>IF(OR(B510="",$I$6&lt;&gt;"Complete"),"",I509+E510+G510-H510)</x:f>
      </x:c>
      <x:c r="J510" s="37" t="str">
        <x:f>IF(OR(B510="",$I$6&lt;&gt;"Complete"),"",'Inputs'!$C$49)</x:f>
      </x:c>
      <x:c r="K510" s="37" t="str">
        <x:f>IF(OR(B510="",$I$6&lt;&gt;"Complete"),"",I510-J510)</x:f>
      </x:c>
      <x:c r="L510" s="61" t="str">
        <x:f>IF(OR(B510="",$I$6&lt;&gt;"Complete"),"",IF(K510&lt;0,1,0))</x:f>
      </x:c>
    </x:row>
    <x:row r="511" ht="23" customHeight="1">
      <x:c r="A511" s="2"/>
      <x:c r="B511" s="60" t="str">
        <x:f>IF($D$6&lt;&gt;"Complete","",IF('Inputs'!$C$47+441&lt;=$D$9,'Inputs'!$C$47+441,""))</x:f>
      </x:c>
      <x:c r="C511" s="37" t="str">
        <x:f>IF(B511="","",SUMIFS($D$14:$D$23,$C$14:$C$23,B511))</x:f>
      </x:c>
      <x:c r="D511" s="37" t="str">
        <x:f>IF(B511="","",SUMIFS($E$14:$E$23,$C$14:$C$23,B511))</x:f>
      </x:c>
      <x:c r="E511" s="37" t="str">
        <x:f>IF(B511="","",C511-D511)</x:f>
      </x:c>
      <x:c r="F511" s="37" t="str">
        <x:f>IF(B511="","",F510+E511)</x:f>
      </x:c>
      <x:c r="G511" s="37" t="str">
        <x:f>IF(OR(B511="",$I$6&lt;&gt;"Complete"),"",SUMIFS($D$32:$D$51,$C$32:$C$51,B511,$I$32:$I$51,"Ready"))</x:f>
      </x:c>
      <x:c r="H511" s="37" t="str">
        <x:f>IF(OR(B511="",$I$6&lt;&gt;"Complete"),"",SUMIFS($E$32:$E$51,$C$32:$C$51,B511,$I$32:$I$51,"Ready"))</x:f>
      </x:c>
      <x:c r="I511" s="37" t="str">
        <x:f>IF(OR(B511="",$I$6&lt;&gt;"Complete"),"",I510+E511+G511-H511)</x:f>
      </x:c>
      <x:c r="J511" s="37" t="str">
        <x:f>IF(OR(B511="",$I$6&lt;&gt;"Complete"),"",'Inputs'!$C$49)</x:f>
      </x:c>
      <x:c r="K511" s="37" t="str">
        <x:f>IF(OR(B511="",$I$6&lt;&gt;"Complete"),"",I511-J511)</x:f>
      </x:c>
      <x:c r="L511" s="61" t="str">
        <x:f>IF(OR(B511="",$I$6&lt;&gt;"Complete"),"",IF(K511&lt;0,1,0))</x:f>
      </x:c>
    </x:row>
    <x:row r="512" ht="23" customHeight="1">
      <x:c r="A512" s="2"/>
      <x:c r="B512" s="60" t="str">
        <x:f>IF($D$6&lt;&gt;"Complete","",IF('Inputs'!$C$47+442&lt;=$D$9,'Inputs'!$C$47+442,""))</x:f>
      </x:c>
      <x:c r="C512" s="37" t="str">
        <x:f>IF(B512="","",SUMIFS($D$14:$D$23,$C$14:$C$23,B512))</x:f>
      </x:c>
      <x:c r="D512" s="37" t="str">
        <x:f>IF(B512="","",SUMIFS($E$14:$E$23,$C$14:$C$23,B512))</x:f>
      </x:c>
      <x:c r="E512" s="37" t="str">
        <x:f>IF(B512="","",C512-D512)</x:f>
      </x:c>
      <x:c r="F512" s="37" t="str">
        <x:f>IF(B512="","",F511+E512)</x:f>
      </x:c>
      <x:c r="G512" s="37" t="str">
        <x:f>IF(OR(B512="",$I$6&lt;&gt;"Complete"),"",SUMIFS($D$32:$D$51,$C$32:$C$51,B512,$I$32:$I$51,"Ready"))</x:f>
      </x:c>
      <x:c r="H512" s="37" t="str">
        <x:f>IF(OR(B512="",$I$6&lt;&gt;"Complete"),"",SUMIFS($E$32:$E$51,$C$32:$C$51,B512,$I$32:$I$51,"Ready"))</x:f>
      </x:c>
      <x:c r="I512" s="37" t="str">
        <x:f>IF(OR(B512="",$I$6&lt;&gt;"Complete"),"",I511+E512+G512-H512)</x:f>
      </x:c>
      <x:c r="J512" s="37" t="str">
        <x:f>IF(OR(B512="",$I$6&lt;&gt;"Complete"),"",'Inputs'!$C$49)</x:f>
      </x:c>
      <x:c r="K512" s="37" t="str">
        <x:f>IF(OR(B512="",$I$6&lt;&gt;"Complete"),"",I512-J512)</x:f>
      </x:c>
      <x:c r="L512" s="61" t="str">
        <x:f>IF(OR(B512="",$I$6&lt;&gt;"Complete"),"",IF(K512&lt;0,1,0))</x:f>
      </x:c>
    </x:row>
    <x:row r="513" ht="23" customHeight="1">
      <x:c r="A513" s="2"/>
      <x:c r="B513" s="60" t="str">
        <x:f>IF($D$6&lt;&gt;"Complete","",IF('Inputs'!$C$47+443&lt;=$D$9,'Inputs'!$C$47+443,""))</x:f>
      </x:c>
      <x:c r="C513" s="37" t="str">
        <x:f>IF(B513="","",SUMIFS($D$14:$D$23,$C$14:$C$23,B513))</x:f>
      </x:c>
      <x:c r="D513" s="37" t="str">
        <x:f>IF(B513="","",SUMIFS($E$14:$E$23,$C$14:$C$23,B513))</x:f>
      </x:c>
      <x:c r="E513" s="37" t="str">
        <x:f>IF(B513="","",C513-D513)</x:f>
      </x:c>
      <x:c r="F513" s="37" t="str">
        <x:f>IF(B513="","",F512+E513)</x:f>
      </x:c>
      <x:c r="G513" s="37" t="str">
        <x:f>IF(OR(B513="",$I$6&lt;&gt;"Complete"),"",SUMIFS($D$32:$D$51,$C$32:$C$51,B513,$I$32:$I$51,"Ready"))</x:f>
      </x:c>
      <x:c r="H513" s="37" t="str">
        <x:f>IF(OR(B513="",$I$6&lt;&gt;"Complete"),"",SUMIFS($E$32:$E$51,$C$32:$C$51,B513,$I$32:$I$51,"Ready"))</x:f>
      </x:c>
      <x:c r="I513" s="37" t="str">
        <x:f>IF(OR(B513="",$I$6&lt;&gt;"Complete"),"",I512+E513+G513-H513)</x:f>
      </x:c>
      <x:c r="J513" s="37" t="str">
        <x:f>IF(OR(B513="",$I$6&lt;&gt;"Complete"),"",'Inputs'!$C$49)</x:f>
      </x:c>
      <x:c r="K513" s="37" t="str">
        <x:f>IF(OR(B513="",$I$6&lt;&gt;"Complete"),"",I513-J513)</x:f>
      </x:c>
      <x:c r="L513" s="61" t="str">
        <x:f>IF(OR(B513="",$I$6&lt;&gt;"Complete"),"",IF(K513&lt;0,1,0))</x:f>
      </x:c>
    </x:row>
    <x:row r="514" ht="23" customHeight="1">
      <x:c r="A514" s="2"/>
      <x:c r="B514" s="60" t="str">
        <x:f>IF($D$6&lt;&gt;"Complete","",IF('Inputs'!$C$47+444&lt;=$D$9,'Inputs'!$C$47+444,""))</x:f>
      </x:c>
      <x:c r="C514" s="37" t="str">
        <x:f>IF(B514="","",SUMIFS($D$14:$D$23,$C$14:$C$23,B514))</x:f>
      </x:c>
      <x:c r="D514" s="37" t="str">
        <x:f>IF(B514="","",SUMIFS($E$14:$E$23,$C$14:$C$23,B514))</x:f>
      </x:c>
      <x:c r="E514" s="37" t="str">
        <x:f>IF(B514="","",C514-D514)</x:f>
      </x:c>
      <x:c r="F514" s="37" t="str">
        <x:f>IF(B514="","",F513+E514)</x:f>
      </x:c>
      <x:c r="G514" s="37" t="str">
        <x:f>IF(OR(B514="",$I$6&lt;&gt;"Complete"),"",SUMIFS($D$32:$D$51,$C$32:$C$51,B514,$I$32:$I$51,"Ready"))</x:f>
      </x:c>
      <x:c r="H514" s="37" t="str">
        <x:f>IF(OR(B514="",$I$6&lt;&gt;"Complete"),"",SUMIFS($E$32:$E$51,$C$32:$C$51,B514,$I$32:$I$51,"Ready"))</x:f>
      </x:c>
      <x:c r="I514" s="37" t="str">
        <x:f>IF(OR(B514="",$I$6&lt;&gt;"Complete"),"",I513+E514+G514-H514)</x:f>
      </x:c>
      <x:c r="J514" s="37" t="str">
        <x:f>IF(OR(B514="",$I$6&lt;&gt;"Complete"),"",'Inputs'!$C$49)</x:f>
      </x:c>
      <x:c r="K514" s="37" t="str">
        <x:f>IF(OR(B514="",$I$6&lt;&gt;"Complete"),"",I514-J514)</x:f>
      </x:c>
      <x:c r="L514" s="61" t="str">
        <x:f>IF(OR(B514="",$I$6&lt;&gt;"Complete"),"",IF(K514&lt;0,1,0))</x:f>
      </x:c>
    </x:row>
    <x:row r="515" ht="23" customHeight="1">
      <x:c r="A515" s="2"/>
      <x:c r="B515" s="60" t="str">
        <x:f>IF($D$6&lt;&gt;"Complete","",IF('Inputs'!$C$47+445&lt;=$D$9,'Inputs'!$C$47+445,""))</x:f>
      </x:c>
      <x:c r="C515" s="37" t="str">
        <x:f>IF(B515="","",SUMIFS($D$14:$D$23,$C$14:$C$23,B515))</x:f>
      </x:c>
      <x:c r="D515" s="37" t="str">
        <x:f>IF(B515="","",SUMIFS($E$14:$E$23,$C$14:$C$23,B515))</x:f>
      </x:c>
      <x:c r="E515" s="37" t="str">
        <x:f>IF(B515="","",C515-D515)</x:f>
      </x:c>
      <x:c r="F515" s="37" t="str">
        <x:f>IF(B515="","",F514+E515)</x:f>
      </x:c>
      <x:c r="G515" s="37" t="str">
        <x:f>IF(OR(B515="",$I$6&lt;&gt;"Complete"),"",SUMIFS($D$32:$D$51,$C$32:$C$51,B515,$I$32:$I$51,"Ready"))</x:f>
      </x:c>
      <x:c r="H515" s="37" t="str">
        <x:f>IF(OR(B515="",$I$6&lt;&gt;"Complete"),"",SUMIFS($E$32:$E$51,$C$32:$C$51,B515,$I$32:$I$51,"Ready"))</x:f>
      </x:c>
      <x:c r="I515" s="37" t="str">
        <x:f>IF(OR(B515="",$I$6&lt;&gt;"Complete"),"",I514+E515+G515-H515)</x:f>
      </x:c>
      <x:c r="J515" s="37" t="str">
        <x:f>IF(OR(B515="",$I$6&lt;&gt;"Complete"),"",'Inputs'!$C$49)</x:f>
      </x:c>
      <x:c r="K515" s="37" t="str">
        <x:f>IF(OR(B515="",$I$6&lt;&gt;"Complete"),"",I515-J515)</x:f>
      </x:c>
      <x:c r="L515" s="61" t="str">
        <x:f>IF(OR(B515="",$I$6&lt;&gt;"Complete"),"",IF(K515&lt;0,1,0))</x:f>
      </x:c>
    </x:row>
    <x:row r="516" ht="23" customHeight="1">
      <x:c r="A516" s="2"/>
      <x:c r="B516" s="60" t="str">
        <x:f>IF($D$6&lt;&gt;"Complete","",IF('Inputs'!$C$47+446&lt;=$D$9,'Inputs'!$C$47+446,""))</x:f>
      </x:c>
      <x:c r="C516" s="37" t="str">
        <x:f>IF(B516="","",SUMIFS($D$14:$D$23,$C$14:$C$23,B516))</x:f>
      </x:c>
      <x:c r="D516" s="37" t="str">
        <x:f>IF(B516="","",SUMIFS($E$14:$E$23,$C$14:$C$23,B516))</x:f>
      </x:c>
      <x:c r="E516" s="37" t="str">
        <x:f>IF(B516="","",C516-D516)</x:f>
      </x:c>
      <x:c r="F516" s="37" t="str">
        <x:f>IF(B516="","",F515+E516)</x:f>
      </x:c>
      <x:c r="G516" s="37" t="str">
        <x:f>IF(OR(B516="",$I$6&lt;&gt;"Complete"),"",SUMIFS($D$32:$D$51,$C$32:$C$51,B516,$I$32:$I$51,"Ready"))</x:f>
      </x:c>
      <x:c r="H516" s="37" t="str">
        <x:f>IF(OR(B516="",$I$6&lt;&gt;"Complete"),"",SUMIFS($E$32:$E$51,$C$32:$C$51,B516,$I$32:$I$51,"Ready"))</x:f>
      </x:c>
      <x:c r="I516" s="37" t="str">
        <x:f>IF(OR(B516="",$I$6&lt;&gt;"Complete"),"",I515+E516+G516-H516)</x:f>
      </x:c>
      <x:c r="J516" s="37" t="str">
        <x:f>IF(OR(B516="",$I$6&lt;&gt;"Complete"),"",'Inputs'!$C$49)</x:f>
      </x:c>
      <x:c r="K516" s="37" t="str">
        <x:f>IF(OR(B516="",$I$6&lt;&gt;"Complete"),"",I516-J516)</x:f>
      </x:c>
      <x:c r="L516" s="61" t="str">
        <x:f>IF(OR(B516="",$I$6&lt;&gt;"Complete"),"",IF(K516&lt;0,1,0))</x:f>
      </x:c>
    </x:row>
    <x:row r="517" ht="23" customHeight="1">
      <x:c r="A517" s="2"/>
      <x:c r="B517" s="60" t="str">
        <x:f>IF($D$6&lt;&gt;"Complete","",IF('Inputs'!$C$47+447&lt;=$D$9,'Inputs'!$C$47+447,""))</x:f>
      </x:c>
      <x:c r="C517" s="37" t="str">
        <x:f>IF(B517="","",SUMIFS($D$14:$D$23,$C$14:$C$23,B517))</x:f>
      </x:c>
      <x:c r="D517" s="37" t="str">
        <x:f>IF(B517="","",SUMIFS($E$14:$E$23,$C$14:$C$23,B517))</x:f>
      </x:c>
      <x:c r="E517" s="37" t="str">
        <x:f>IF(B517="","",C517-D517)</x:f>
      </x:c>
      <x:c r="F517" s="37" t="str">
        <x:f>IF(B517="","",F516+E517)</x:f>
      </x:c>
      <x:c r="G517" s="37" t="str">
        <x:f>IF(OR(B517="",$I$6&lt;&gt;"Complete"),"",SUMIFS($D$32:$D$51,$C$32:$C$51,B517,$I$32:$I$51,"Ready"))</x:f>
      </x:c>
      <x:c r="H517" s="37" t="str">
        <x:f>IF(OR(B517="",$I$6&lt;&gt;"Complete"),"",SUMIFS($E$32:$E$51,$C$32:$C$51,B517,$I$32:$I$51,"Ready"))</x:f>
      </x:c>
      <x:c r="I517" s="37" t="str">
        <x:f>IF(OR(B517="",$I$6&lt;&gt;"Complete"),"",I516+E517+G517-H517)</x:f>
      </x:c>
      <x:c r="J517" s="37" t="str">
        <x:f>IF(OR(B517="",$I$6&lt;&gt;"Complete"),"",'Inputs'!$C$49)</x:f>
      </x:c>
      <x:c r="K517" s="37" t="str">
        <x:f>IF(OR(B517="",$I$6&lt;&gt;"Complete"),"",I517-J517)</x:f>
      </x:c>
      <x:c r="L517" s="61" t="str">
        <x:f>IF(OR(B517="",$I$6&lt;&gt;"Complete"),"",IF(K517&lt;0,1,0))</x:f>
      </x:c>
    </x:row>
    <x:row r="518" ht="23" customHeight="1">
      <x:c r="A518" s="2"/>
      <x:c r="B518" s="60" t="str">
        <x:f>IF($D$6&lt;&gt;"Complete","",IF('Inputs'!$C$47+448&lt;=$D$9,'Inputs'!$C$47+448,""))</x:f>
      </x:c>
      <x:c r="C518" s="37" t="str">
        <x:f>IF(B518="","",SUMIFS($D$14:$D$23,$C$14:$C$23,B518))</x:f>
      </x:c>
      <x:c r="D518" s="37" t="str">
        <x:f>IF(B518="","",SUMIFS($E$14:$E$23,$C$14:$C$23,B518))</x:f>
      </x:c>
      <x:c r="E518" s="37" t="str">
        <x:f>IF(B518="","",C518-D518)</x:f>
      </x:c>
      <x:c r="F518" s="37" t="str">
        <x:f>IF(B518="","",F517+E518)</x:f>
      </x:c>
      <x:c r="G518" s="37" t="str">
        <x:f>IF(OR(B518="",$I$6&lt;&gt;"Complete"),"",SUMIFS($D$32:$D$51,$C$32:$C$51,B518,$I$32:$I$51,"Ready"))</x:f>
      </x:c>
      <x:c r="H518" s="37" t="str">
        <x:f>IF(OR(B518="",$I$6&lt;&gt;"Complete"),"",SUMIFS($E$32:$E$51,$C$32:$C$51,B518,$I$32:$I$51,"Ready"))</x:f>
      </x:c>
      <x:c r="I518" s="37" t="str">
        <x:f>IF(OR(B518="",$I$6&lt;&gt;"Complete"),"",I517+E518+G518-H518)</x:f>
      </x:c>
      <x:c r="J518" s="37" t="str">
        <x:f>IF(OR(B518="",$I$6&lt;&gt;"Complete"),"",'Inputs'!$C$49)</x:f>
      </x:c>
      <x:c r="K518" s="37" t="str">
        <x:f>IF(OR(B518="",$I$6&lt;&gt;"Complete"),"",I518-J518)</x:f>
      </x:c>
      <x:c r="L518" s="61" t="str">
        <x:f>IF(OR(B518="",$I$6&lt;&gt;"Complete"),"",IF(K518&lt;0,1,0))</x:f>
      </x:c>
    </x:row>
    <x:row r="519" ht="23" customHeight="1">
      <x:c r="A519" s="2"/>
      <x:c r="B519" s="60" t="str">
        <x:f>IF($D$6&lt;&gt;"Complete","",IF('Inputs'!$C$47+449&lt;=$D$9,'Inputs'!$C$47+449,""))</x:f>
      </x:c>
      <x:c r="C519" s="37" t="str">
        <x:f>IF(B519="","",SUMIFS($D$14:$D$23,$C$14:$C$23,B519))</x:f>
      </x:c>
      <x:c r="D519" s="37" t="str">
        <x:f>IF(B519="","",SUMIFS($E$14:$E$23,$C$14:$C$23,B519))</x:f>
      </x:c>
      <x:c r="E519" s="37" t="str">
        <x:f>IF(B519="","",C519-D519)</x:f>
      </x:c>
      <x:c r="F519" s="37" t="str">
        <x:f>IF(B519="","",F518+E519)</x:f>
      </x:c>
      <x:c r="G519" s="37" t="str">
        <x:f>IF(OR(B519="",$I$6&lt;&gt;"Complete"),"",SUMIFS($D$32:$D$51,$C$32:$C$51,B519,$I$32:$I$51,"Ready"))</x:f>
      </x:c>
      <x:c r="H519" s="37" t="str">
        <x:f>IF(OR(B519="",$I$6&lt;&gt;"Complete"),"",SUMIFS($E$32:$E$51,$C$32:$C$51,B519,$I$32:$I$51,"Ready"))</x:f>
      </x:c>
      <x:c r="I519" s="37" t="str">
        <x:f>IF(OR(B519="",$I$6&lt;&gt;"Complete"),"",I518+E519+G519-H519)</x:f>
      </x:c>
      <x:c r="J519" s="37" t="str">
        <x:f>IF(OR(B519="",$I$6&lt;&gt;"Complete"),"",'Inputs'!$C$49)</x:f>
      </x:c>
      <x:c r="K519" s="37" t="str">
        <x:f>IF(OR(B519="",$I$6&lt;&gt;"Complete"),"",I519-J519)</x:f>
      </x:c>
      <x:c r="L519" s="61" t="str">
        <x:f>IF(OR(B519="",$I$6&lt;&gt;"Complete"),"",IF(K519&lt;0,1,0))</x:f>
      </x:c>
    </x:row>
    <x:row r="520" ht="23" customHeight="1">
      <x:c r="A520" s="2"/>
      <x:c r="B520" s="60" t="str">
        <x:f>IF($D$6&lt;&gt;"Complete","",IF('Inputs'!$C$47+450&lt;=$D$9,'Inputs'!$C$47+450,""))</x:f>
      </x:c>
      <x:c r="C520" s="37" t="str">
        <x:f>IF(B520="","",SUMIFS($D$14:$D$23,$C$14:$C$23,B520))</x:f>
      </x:c>
      <x:c r="D520" s="37" t="str">
        <x:f>IF(B520="","",SUMIFS($E$14:$E$23,$C$14:$C$23,B520))</x:f>
      </x:c>
      <x:c r="E520" s="37" t="str">
        <x:f>IF(B520="","",C520-D520)</x:f>
      </x:c>
      <x:c r="F520" s="37" t="str">
        <x:f>IF(B520="","",F519+E520)</x:f>
      </x:c>
      <x:c r="G520" s="37" t="str">
        <x:f>IF(OR(B520="",$I$6&lt;&gt;"Complete"),"",SUMIFS($D$32:$D$51,$C$32:$C$51,B520,$I$32:$I$51,"Ready"))</x:f>
      </x:c>
      <x:c r="H520" s="37" t="str">
        <x:f>IF(OR(B520="",$I$6&lt;&gt;"Complete"),"",SUMIFS($E$32:$E$51,$C$32:$C$51,B520,$I$32:$I$51,"Ready"))</x:f>
      </x:c>
      <x:c r="I520" s="37" t="str">
        <x:f>IF(OR(B520="",$I$6&lt;&gt;"Complete"),"",I519+E520+G520-H520)</x:f>
      </x:c>
      <x:c r="J520" s="37" t="str">
        <x:f>IF(OR(B520="",$I$6&lt;&gt;"Complete"),"",'Inputs'!$C$49)</x:f>
      </x:c>
      <x:c r="K520" s="37" t="str">
        <x:f>IF(OR(B520="",$I$6&lt;&gt;"Complete"),"",I520-J520)</x:f>
      </x:c>
      <x:c r="L520" s="61" t="str">
        <x:f>IF(OR(B520="",$I$6&lt;&gt;"Complete"),"",IF(K520&lt;0,1,0))</x:f>
      </x:c>
    </x:row>
    <x:row r="521" ht="23" customHeight="1">
      <x:c r="A521" s="2"/>
      <x:c r="B521" s="60" t="str">
        <x:f>IF($D$6&lt;&gt;"Complete","",IF('Inputs'!$C$47+451&lt;=$D$9,'Inputs'!$C$47+451,""))</x:f>
      </x:c>
      <x:c r="C521" s="37" t="str">
        <x:f>IF(B521="","",SUMIFS($D$14:$D$23,$C$14:$C$23,B521))</x:f>
      </x:c>
      <x:c r="D521" s="37" t="str">
        <x:f>IF(B521="","",SUMIFS($E$14:$E$23,$C$14:$C$23,B521))</x:f>
      </x:c>
      <x:c r="E521" s="37" t="str">
        <x:f>IF(B521="","",C521-D521)</x:f>
      </x:c>
      <x:c r="F521" s="37" t="str">
        <x:f>IF(B521="","",F520+E521)</x:f>
      </x:c>
      <x:c r="G521" s="37" t="str">
        <x:f>IF(OR(B521="",$I$6&lt;&gt;"Complete"),"",SUMIFS($D$32:$D$51,$C$32:$C$51,B521,$I$32:$I$51,"Ready"))</x:f>
      </x:c>
      <x:c r="H521" s="37" t="str">
        <x:f>IF(OR(B521="",$I$6&lt;&gt;"Complete"),"",SUMIFS($E$32:$E$51,$C$32:$C$51,B521,$I$32:$I$51,"Ready"))</x:f>
      </x:c>
      <x:c r="I521" s="37" t="str">
        <x:f>IF(OR(B521="",$I$6&lt;&gt;"Complete"),"",I520+E521+G521-H521)</x:f>
      </x:c>
      <x:c r="J521" s="37" t="str">
        <x:f>IF(OR(B521="",$I$6&lt;&gt;"Complete"),"",'Inputs'!$C$49)</x:f>
      </x:c>
      <x:c r="K521" s="37" t="str">
        <x:f>IF(OR(B521="",$I$6&lt;&gt;"Complete"),"",I521-J521)</x:f>
      </x:c>
      <x:c r="L521" s="61" t="str">
        <x:f>IF(OR(B521="",$I$6&lt;&gt;"Complete"),"",IF(K521&lt;0,1,0))</x:f>
      </x:c>
    </x:row>
    <x:row r="522" ht="23" customHeight="1">
      <x:c r="A522" s="2"/>
      <x:c r="B522" s="60" t="str">
        <x:f>IF($D$6&lt;&gt;"Complete","",IF('Inputs'!$C$47+452&lt;=$D$9,'Inputs'!$C$47+452,""))</x:f>
      </x:c>
      <x:c r="C522" s="37" t="str">
        <x:f>IF(B522="","",SUMIFS($D$14:$D$23,$C$14:$C$23,B522))</x:f>
      </x:c>
      <x:c r="D522" s="37" t="str">
        <x:f>IF(B522="","",SUMIFS($E$14:$E$23,$C$14:$C$23,B522))</x:f>
      </x:c>
      <x:c r="E522" s="37" t="str">
        <x:f>IF(B522="","",C522-D522)</x:f>
      </x:c>
      <x:c r="F522" s="37" t="str">
        <x:f>IF(B522="","",F521+E522)</x:f>
      </x:c>
      <x:c r="G522" s="37" t="str">
        <x:f>IF(OR(B522="",$I$6&lt;&gt;"Complete"),"",SUMIFS($D$32:$D$51,$C$32:$C$51,B522,$I$32:$I$51,"Ready"))</x:f>
      </x:c>
      <x:c r="H522" s="37" t="str">
        <x:f>IF(OR(B522="",$I$6&lt;&gt;"Complete"),"",SUMIFS($E$32:$E$51,$C$32:$C$51,B522,$I$32:$I$51,"Ready"))</x:f>
      </x:c>
      <x:c r="I522" s="37" t="str">
        <x:f>IF(OR(B522="",$I$6&lt;&gt;"Complete"),"",I521+E522+G522-H522)</x:f>
      </x:c>
      <x:c r="J522" s="37" t="str">
        <x:f>IF(OR(B522="",$I$6&lt;&gt;"Complete"),"",'Inputs'!$C$49)</x:f>
      </x:c>
      <x:c r="K522" s="37" t="str">
        <x:f>IF(OR(B522="",$I$6&lt;&gt;"Complete"),"",I522-J522)</x:f>
      </x:c>
      <x:c r="L522" s="61" t="str">
        <x:f>IF(OR(B522="",$I$6&lt;&gt;"Complete"),"",IF(K522&lt;0,1,0))</x:f>
      </x:c>
    </x:row>
    <x:row r="523" ht="23" customHeight="1">
      <x:c r="A523" s="2"/>
      <x:c r="B523" s="60" t="str">
        <x:f>IF($D$6&lt;&gt;"Complete","",IF('Inputs'!$C$47+453&lt;=$D$9,'Inputs'!$C$47+453,""))</x:f>
      </x:c>
      <x:c r="C523" s="37" t="str">
        <x:f>IF(B523="","",SUMIFS($D$14:$D$23,$C$14:$C$23,B523))</x:f>
      </x:c>
      <x:c r="D523" s="37" t="str">
        <x:f>IF(B523="","",SUMIFS($E$14:$E$23,$C$14:$C$23,B523))</x:f>
      </x:c>
      <x:c r="E523" s="37" t="str">
        <x:f>IF(B523="","",C523-D523)</x:f>
      </x:c>
      <x:c r="F523" s="37" t="str">
        <x:f>IF(B523="","",F522+E523)</x:f>
      </x:c>
      <x:c r="G523" s="37" t="str">
        <x:f>IF(OR(B523="",$I$6&lt;&gt;"Complete"),"",SUMIFS($D$32:$D$51,$C$32:$C$51,B523,$I$32:$I$51,"Ready"))</x:f>
      </x:c>
      <x:c r="H523" s="37" t="str">
        <x:f>IF(OR(B523="",$I$6&lt;&gt;"Complete"),"",SUMIFS($E$32:$E$51,$C$32:$C$51,B523,$I$32:$I$51,"Ready"))</x:f>
      </x:c>
      <x:c r="I523" s="37" t="str">
        <x:f>IF(OR(B523="",$I$6&lt;&gt;"Complete"),"",I522+E523+G523-H523)</x:f>
      </x:c>
      <x:c r="J523" s="37" t="str">
        <x:f>IF(OR(B523="",$I$6&lt;&gt;"Complete"),"",'Inputs'!$C$49)</x:f>
      </x:c>
      <x:c r="K523" s="37" t="str">
        <x:f>IF(OR(B523="",$I$6&lt;&gt;"Complete"),"",I523-J523)</x:f>
      </x:c>
      <x:c r="L523" s="61" t="str">
        <x:f>IF(OR(B523="",$I$6&lt;&gt;"Complete"),"",IF(K523&lt;0,1,0))</x:f>
      </x:c>
    </x:row>
    <x:row r="524" ht="23" customHeight="1">
      <x:c r="A524" s="2"/>
      <x:c r="B524" s="60" t="str">
        <x:f>IF($D$6&lt;&gt;"Complete","",IF('Inputs'!$C$47+454&lt;=$D$9,'Inputs'!$C$47+454,""))</x:f>
      </x:c>
      <x:c r="C524" s="37" t="str">
        <x:f>IF(B524="","",SUMIFS($D$14:$D$23,$C$14:$C$23,B524))</x:f>
      </x:c>
      <x:c r="D524" s="37" t="str">
        <x:f>IF(B524="","",SUMIFS($E$14:$E$23,$C$14:$C$23,B524))</x:f>
      </x:c>
      <x:c r="E524" s="37" t="str">
        <x:f>IF(B524="","",C524-D524)</x:f>
      </x:c>
      <x:c r="F524" s="37" t="str">
        <x:f>IF(B524="","",F523+E524)</x:f>
      </x:c>
      <x:c r="G524" s="37" t="str">
        <x:f>IF(OR(B524="",$I$6&lt;&gt;"Complete"),"",SUMIFS($D$32:$D$51,$C$32:$C$51,B524,$I$32:$I$51,"Ready"))</x:f>
      </x:c>
      <x:c r="H524" s="37" t="str">
        <x:f>IF(OR(B524="",$I$6&lt;&gt;"Complete"),"",SUMIFS($E$32:$E$51,$C$32:$C$51,B524,$I$32:$I$51,"Ready"))</x:f>
      </x:c>
      <x:c r="I524" s="37" t="str">
        <x:f>IF(OR(B524="",$I$6&lt;&gt;"Complete"),"",I523+E524+G524-H524)</x:f>
      </x:c>
      <x:c r="J524" s="37" t="str">
        <x:f>IF(OR(B524="",$I$6&lt;&gt;"Complete"),"",'Inputs'!$C$49)</x:f>
      </x:c>
      <x:c r="K524" s="37" t="str">
        <x:f>IF(OR(B524="",$I$6&lt;&gt;"Complete"),"",I524-J524)</x:f>
      </x:c>
      <x:c r="L524" s="61" t="str">
        <x:f>IF(OR(B524="",$I$6&lt;&gt;"Complete"),"",IF(K524&lt;0,1,0))</x:f>
      </x:c>
    </x:row>
    <x:row r="525" ht="23" customHeight="1">
      <x:c r="A525" s="2"/>
      <x:c r="B525" s="60" t="str">
        <x:f>IF($D$6&lt;&gt;"Complete","",IF('Inputs'!$C$47+455&lt;=$D$9,'Inputs'!$C$47+455,""))</x:f>
      </x:c>
      <x:c r="C525" s="37" t="str">
        <x:f>IF(B525="","",SUMIFS($D$14:$D$23,$C$14:$C$23,B525))</x:f>
      </x:c>
      <x:c r="D525" s="37" t="str">
        <x:f>IF(B525="","",SUMIFS($E$14:$E$23,$C$14:$C$23,B525))</x:f>
      </x:c>
      <x:c r="E525" s="37" t="str">
        <x:f>IF(B525="","",C525-D525)</x:f>
      </x:c>
      <x:c r="F525" s="37" t="str">
        <x:f>IF(B525="","",F524+E525)</x:f>
      </x:c>
      <x:c r="G525" s="37" t="str">
        <x:f>IF(OR(B525="",$I$6&lt;&gt;"Complete"),"",SUMIFS($D$32:$D$51,$C$32:$C$51,B525,$I$32:$I$51,"Ready"))</x:f>
      </x:c>
      <x:c r="H525" s="37" t="str">
        <x:f>IF(OR(B525="",$I$6&lt;&gt;"Complete"),"",SUMIFS($E$32:$E$51,$C$32:$C$51,B525,$I$32:$I$51,"Ready"))</x:f>
      </x:c>
      <x:c r="I525" s="37" t="str">
        <x:f>IF(OR(B525="",$I$6&lt;&gt;"Complete"),"",I524+E525+G525-H525)</x:f>
      </x:c>
      <x:c r="J525" s="37" t="str">
        <x:f>IF(OR(B525="",$I$6&lt;&gt;"Complete"),"",'Inputs'!$C$49)</x:f>
      </x:c>
      <x:c r="K525" s="37" t="str">
        <x:f>IF(OR(B525="",$I$6&lt;&gt;"Complete"),"",I525-J525)</x:f>
      </x:c>
      <x:c r="L525" s="61" t="str">
        <x:f>IF(OR(B525="",$I$6&lt;&gt;"Complete"),"",IF(K525&lt;0,1,0))</x:f>
      </x:c>
    </x:row>
    <x:row r="526" ht="23" customHeight="1">
      <x:c r="A526" s="2"/>
      <x:c r="B526" s="60" t="str">
        <x:f>IF($D$6&lt;&gt;"Complete","",IF('Inputs'!$C$47+456&lt;=$D$9,'Inputs'!$C$47+456,""))</x:f>
      </x:c>
      <x:c r="C526" s="37" t="str">
        <x:f>IF(B526="","",SUMIFS($D$14:$D$23,$C$14:$C$23,B526))</x:f>
      </x:c>
      <x:c r="D526" s="37" t="str">
        <x:f>IF(B526="","",SUMIFS($E$14:$E$23,$C$14:$C$23,B526))</x:f>
      </x:c>
      <x:c r="E526" s="37" t="str">
        <x:f>IF(B526="","",C526-D526)</x:f>
      </x:c>
      <x:c r="F526" s="37" t="str">
        <x:f>IF(B526="","",F525+E526)</x:f>
      </x:c>
      <x:c r="G526" s="37" t="str">
        <x:f>IF(OR(B526="",$I$6&lt;&gt;"Complete"),"",SUMIFS($D$32:$D$51,$C$32:$C$51,B526,$I$32:$I$51,"Ready"))</x:f>
      </x:c>
      <x:c r="H526" s="37" t="str">
        <x:f>IF(OR(B526="",$I$6&lt;&gt;"Complete"),"",SUMIFS($E$32:$E$51,$C$32:$C$51,B526,$I$32:$I$51,"Ready"))</x:f>
      </x:c>
      <x:c r="I526" s="37" t="str">
        <x:f>IF(OR(B526="",$I$6&lt;&gt;"Complete"),"",I525+E526+G526-H526)</x:f>
      </x:c>
      <x:c r="J526" s="37" t="str">
        <x:f>IF(OR(B526="",$I$6&lt;&gt;"Complete"),"",'Inputs'!$C$49)</x:f>
      </x:c>
      <x:c r="K526" s="37" t="str">
        <x:f>IF(OR(B526="",$I$6&lt;&gt;"Complete"),"",I526-J526)</x:f>
      </x:c>
      <x:c r="L526" s="61" t="str">
        <x:f>IF(OR(B526="",$I$6&lt;&gt;"Complete"),"",IF(K526&lt;0,1,0))</x:f>
      </x:c>
    </x:row>
    <x:row r="527" ht="23" customHeight="1">
      <x:c r="A527" s="2"/>
      <x:c r="B527" s="60" t="str">
        <x:f>IF($D$6&lt;&gt;"Complete","",IF('Inputs'!$C$47+457&lt;=$D$9,'Inputs'!$C$47+457,""))</x:f>
      </x:c>
      <x:c r="C527" s="37" t="str">
        <x:f>IF(B527="","",SUMIFS($D$14:$D$23,$C$14:$C$23,B527))</x:f>
      </x:c>
      <x:c r="D527" s="37" t="str">
        <x:f>IF(B527="","",SUMIFS($E$14:$E$23,$C$14:$C$23,B527))</x:f>
      </x:c>
      <x:c r="E527" s="37" t="str">
        <x:f>IF(B527="","",C527-D527)</x:f>
      </x:c>
      <x:c r="F527" s="37" t="str">
        <x:f>IF(B527="","",F526+E527)</x:f>
      </x:c>
      <x:c r="G527" s="37" t="str">
        <x:f>IF(OR(B527="",$I$6&lt;&gt;"Complete"),"",SUMIFS($D$32:$D$51,$C$32:$C$51,B527,$I$32:$I$51,"Ready"))</x:f>
      </x:c>
      <x:c r="H527" s="37" t="str">
        <x:f>IF(OR(B527="",$I$6&lt;&gt;"Complete"),"",SUMIFS($E$32:$E$51,$C$32:$C$51,B527,$I$32:$I$51,"Ready"))</x:f>
      </x:c>
      <x:c r="I527" s="37" t="str">
        <x:f>IF(OR(B527="",$I$6&lt;&gt;"Complete"),"",I526+E527+G527-H527)</x:f>
      </x:c>
      <x:c r="J527" s="37" t="str">
        <x:f>IF(OR(B527="",$I$6&lt;&gt;"Complete"),"",'Inputs'!$C$49)</x:f>
      </x:c>
      <x:c r="K527" s="37" t="str">
        <x:f>IF(OR(B527="",$I$6&lt;&gt;"Complete"),"",I527-J527)</x:f>
      </x:c>
      <x:c r="L527" s="61" t="str">
        <x:f>IF(OR(B527="",$I$6&lt;&gt;"Complete"),"",IF(K527&lt;0,1,0))</x:f>
      </x:c>
    </x:row>
    <x:row r="528" ht="23" customHeight="1">
      <x:c r="A528" s="2"/>
      <x:c r="B528" s="60" t="str">
        <x:f>IF($D$6&lt;&gt;"Complete","",IF('Inputs'!$C$47+458&lt;=$D$9,'Inputs'!$C$47+458,""))</x:f>
      </x:c>
      <x:c r="C528" s="37" t="str">
        <x:f>IF(B528="","",SUMIFS($D$14:$D$23,$C$14:$C$23,B528))</x:f>
      </x:c>
      <x:c r="D528" s="37" t="str">
        <x:f>IF(B528="","",SUMIFS($E$14:$E$23,$C$14:$C$23,B528))</x:f>
      </x:c>
      <x:c r="E528" s="37" t="str">
        <x:f>IF(B528="","",C528-D528)</x:f>
      </x:c>
      <x:c r="F528" s="37" t="str">
        <x:f>IF(B528="","",F527+E528)</x:f>
      </x:c>
      <x:c r="G528" s="37" t="str">
        <x:f>IF(OR(B528="",$I$6&lt;&gt;"Complete"),"",SUMIFS($D$32:$D$51,$C$32:$C$51,B528,$I$32:$I$51,"Ready"))</x:f>
      </x:c>
      <x:c r="H528" s="37" t="str">
        <x:f>IF(OR(B528="",$I$6&lt;&gt;"Complete"),"",SUMIFS($E$32:$E$51,$C$32:$C$51,B528,$I$32:$I$51,"Ready"))</x:f>
      </x:c>
      <x:c r="I528" s="37" t="str">
        <x:f>IF(OR(B528="",$I$6&lt;&gt;"Complete"),"",I527+E528+G528-H528)</x:f>
      </x:c>
      <x:c r="J528" s="37" t="str">
        <x:f>IF(OR(B528="",$I$6&lt;&gt;"Complete"),"",'Inputs'!$C$49)</x:f>
      </x:c>
      <x:c r="K528" s="37" t="str">
        <x:f>IF(OR(B528="",$I$6&lt;&gt;"Complete"),"",I528-J528)</x:f>
      </x:c>
      <x:c r="L528" s="61" t="str">
        <x:f>IF(OR(B528="",$I$6&lt;&gt;"Complete"),"",IF(K528&lt;0,1,0))</x:f>
      </x:c>
    </x:row>
    <x:row r="529" ht="23" customHeight="1">
      <x:c r="A529" s="2"/>
      <x:c r="B529" s="60" t="str">
        <x:f>IF($D$6&lt;&gt;"Complete","",IF('Inputs'!$C$47+459&lt;=$D$9,'Inputs'!$C$47+459,""))</x:f>
      </x:c>
      <x:c r="C529" s="37" t="str">
        <x:f>IF(B529="","",SUMIFS($D$14:$D$23,$C$14:$C$23,B529))</x:f>
      </x:c>
      <x:c r="D529" s="37" t="str">
        <x:f>IF(B529="","",SUMIFS($E$14:$E$23,$C$14:$C$23,B529))</x:f>
      </x:c>
      <x:c r="E529" s="37" t="str">
        <x:f>IF(B529="","",C529-D529)</x:f>
      </x:c>
      <x:c r="F529" s="37" t="str">
        <x:f>IF(B529="","",F528+E529)</x:f>
      </x:c>
      <x:c r="G529" s="37" t="str">
        <x:f>IF(OR(B529="",$I$6&lt;&gt;"Complete"),"",SUMIFS($D$32:$D$51,$C$32:$C$51,B529,$I$32:$I$51,"Ready"))</x:f>
      </x:c>
      <x:c r="H529" s="37" t="str">
        <x:f>IF(OR(B529="",$I$6&lt;&gt;"Complete"),"",SUMIFS($E$32:$E$51,$C$32:$C$51,B529,$I$32:$I$51,"Ready"))</x:f>
      </x:c>
      <x:c r="I529" s="37" t="str">
        <x:f>IF(OR(B529="",$I$6&lt;&gt;"Complete"),"",I528+E529+G529-H529)</x:f>
      </x:c>
      <x:c r="J529" s="37" t="str">
        <x:f>IF(OR(B529="",$I$6&lt;&gt;"Complete"),"",'Inputs'!$C$49)</x:f>
      </x:c>
      <x:c r="K529" s="37" t="str">
        <x:f>IF(OR(B529="",$I$6&lt;&gt;"Complete"),"",I529-J529)</x:f>
      </x:c>
      <x:c r="L529" s="61" t="str">
        <x:f>IF(OR(B529="",$I$6&lt;&gt;"Complete"),"",IF(K529&lt;0,1,0))</x:f>
      </x:c>
    </x:row>
    <x:row r="530" ht="23" customHeight="1">
      <x:c r="A530" s="2"/>
      <x:c r="B530" s="60" t="str">
        <x:f>IF($D$6&lt;&gt;"Complete","",IF('Inputs'!$C$47+460&lt;=$D$9,'Inputs'!$C$47+460,""))</x:f>
      </x:c>
      <x:c r="C530" s="37" t="str">
        <x:f>IF(B530="","",SUMIFS($D$14:$D$23,$C$14:$C$23,B530))</x:f>
      </x:c>
      <x:c r="D530" s="37" t="str">
        <x:f>IF(B530="","",SUMIFS($E$14:$E$23,$C$14:$C$23,B530))</x:f>
      </x:c>
      <x:c r="E530" s="37" t="str">
        <x:f>IF(B530="","",C530-D530)</x:f>
      </x:c>
      <x:c r="F530" s="37" t="str">
        <x:f>IF(B530="","",F529+E530)</x:f>
      </x:c>
      <x:c r="G530" s="37" t="str">
        <x:f>IF(OR(B530="",$I$6&lt;&gt;"Complete"),"",SUMIFS($D$32:$D$51,$C$32:$C$51,B530,$I$32:$I$51,"Ready"))</x:f>
      </x:c>
      <x:c r="H530" s="37" t="str">
        <x:f>IF(OR(B530="",$I$6&lt;&gt;"Complete"),"",SUMIFS($E$32:$E$51,$C$32:$C$51,B530,$I$32:$I$51,"Ready"))</x:f>
      </x:c>
      <x:c r="I530" s="37" t="str">
        <x:f>IF(OR(B530="",$I$6&lt;&gt;"Complete"),"",I529+E530+G530-H530)</x:f>
      </x:c>
      <x:c r="J530" s="37" t="str">
        <x:f>IF(OR(B530="",$I$6&lt;&gt;"Complete"),"",'Inputs'!$C$49)</x:f>
      </x:c>
      <x:c r="K530" s="37" t="str">
        <x:f>IF(OR(B530="",$I$6&lt;&gt;"Complete"),"",I530-J530)</x:f>
      </x:c>
      <x:c r="L530" s="61" t="str">
        <x:f>IF(OR(B530="",$I$6&lt;&gt;"Complete"),"",IF(K530&lt;0,1,0))</x:f>
      </x:c>
    </x:row>
    <x:row r="531" ht="23" customHeight="1">
      <x:c r="A531" s="2"/>
      <x:c r="B531" s="60" t="str">
        <x:f>IF($D$6&lt;&gt;"Complete","",IF('Inputs'!$C$47+461&lt;=$D$9,'Inputs'!$C$47+461,""))</x:f>
      </x:c>
      <x:c r="C531" s="37" t="str">
        <x:f>IF(B531="","",SUMIFS($D$14:$D$23,$C$14:$C$23,B531))</x:f>
      </x:c>
      <x:c r="D531" s="37" t="str">
        <x:f>IF(B531="","",SUMIFS($E$14:$E$23,$C$14:$C$23,B531))</x:f>
      </x:c>
      <x:c r="E531" s="37" t="str">
        <x:f>IF(B531="","",C531-D531)</x:f>
      </x:c>
      <x:c r="F531" s="37" t="str">
        <x:f>IF(B531="","",F530+E531)</x:f>
      </x:c>
      <x:c r="G531" s="37" t="str">
        <x:f>IF(OR(B531="",$I$6&lt;&gt;"Complete"),"",SUMIFS($D$32:$D$51,$C$32:$C$51,B531,$I$32:$I$51,"Ready"))</x:f>
      </x:c>
      <x:c r="H531" s="37" t="str">
        <x:f>IF(OR(B531="",$I$6&lt;&gt;"Complete"),"",SUMIFS($E$32:$E$51,$C$32:$C$51,B531,$I$32:$I$51,"Ready"))</x:f>
      </x:c>
      <x:c r="I531" s="37" t="str">
        <x:f>IF(OR(B531="",$I$6&lt;&gt;"Complete"),"",I530+E531+G531-H531)</x:f>
      </x:c>
      <x:c r="J531" s="37" t="str">
        <x:f>IF(OR(B531="",$I$6&lt;&gt;"Complete"),"",'Inputs'!$C$49)</x:f>
      </x:c>
      <x:c r="K531" s="37" t="str">
        <x:f>IF(OR(B531="",$I$6&lt;&gt;"Complete"),"",I531-J531)</x:f>
      </x:c>
      <x:c r="L531" s="61" t="str">
        <x:f>IF(OR(B531="",$I$6&lt;&gt;"Complete"),"",IF(K531&lt;0,1,0))</x:f>
      </x:c>
    </x:row>
    <x:row r="532" ht="23" customHeight="1">
      <x:c r="A532" s="2"/>
      <x:c r="B532" s="60" t="str">
        <x:f>IF($D$6&lt;&gt;"Complete","",IF('Inputs'!$C$47+462&lt;=$D$9,'Inputs'!$C$47+462,""))</x:f>
      </x:c>
      <x:c r="C532" s="37" t="str">
        <x:f>IF(B532="","",SUMIFS($D$14:$D$23,$C$14:$C$23,B532))</x:f>
      </x:c>
      <x:c r="D532" s="37" t="str">
        <x:f>IF(B532="","",SUMIFS($E$14:$E$23,$C$14:$C$23,B532))</x:f>
      </x:c>
      <x:c r="E532" s="37" t="str">
        <x:f>IF(B532="","",C532-D532)</x:f>
      </x:c>
      <x:c r="F532" s="37" t="str">
        <x:f>IF(B532="","",F531+E532)</x:f>
      </x:c>
      <x:c r="G532" s="37" t="str">
        <x:f>IF(OR(B532="",$I$6&lt;&gt;"Complete"),"",SUMIFS($D$32:$D$51,$C$32:$C$51,B532,$I$32:$I$51,"Ready"))</x:f>
      </x:c>
      <x:c r="H532" s="37" t="str">
        <x:f>IF(OR(B532="",$I$6&lt;&gt;"Complete"),"",SUMIFS($E$32:$E$51,$C$32:$C$51,B532,$I$32:$I$51,"Ready"))</x:f>
      </x:c>
      <x:c r="I532" s="37" t="str">
        <x:f>IF(OR(B532="",$I$6&lt;&gt;"Complete"),"",I531+E532+G532-H532)</x:f>
      </x:c>
      <x:c r="J532" s="37" t="str">
        <x:f>IF(OR(B532="",$I$6&lt;&gt;"Complete"),"",'Inputs'!$C$49)</x:f>
      </x:c>
      <x:c r="K532" s="37" t="str">
        <x:f>IF(OR(B532="",$I$6&lt;&gt;"Complete"),"",I532-J532)</x:f>
      </x:c>
      <x:c r="L532" s="61" t="str">
        <x:f>IF(OR(B532="",$I$6&lt;&gt;"Complete"),"",IF(K532&lt;0,1,0))</x:f>
      </x:c>
    </x:row>
    <x:row r="533" ht="23" customHeight="1">
      <x:c r="A533" s="2"/>
      <x:c r="B533" s="60" t="str">
        <x:f>IF($D$6&lt;&gt;"Complete","",IF('Inputs'!$C$47+463&lt;=$D$9,'Inputs'!$C$47+463,""))</x:f>
      </x:c>
      <x:c r="C533" s="37" t="str">
        <x:f>IF(B533="","",SUMIFS($D$14:$D$23,$C$14:$C$23,B533))</x:f>
      </x:c>
      <x:c r="D533" s="37" t="str">
        <x:f>IF(B533="","",SUMIFS($E$14:$E$23,$C$14:$C$23,B533))</x:f>
      </x:c>
      <x:c r="E533" s="37" t="str">
        <x:f>IF(B533="","",C533-D533)</x:f>
      </x:c>
      <x:c r="F533" s="37" t="str">
        <x:f>IF(B533="","",F532+E533)</x:f>
      </x:c>
      <x:c r="G533" s="37" t="str">
        <x:f>IF(OR(B533="",$I$6&lt;&gt;"Complete"),"",SUMIFS($D$32:$D$51,$C$32:$C$51,B533,$I$32:$I$51,"Ready"))</x:f>
      </x:c>
      <x:c r="H533" s="37" t="str">
        <x:f>IF(OR(B533="",$I$6&lt;&gt;"Complete"),"",SUMIFS($E$32:$E$51,$C$32:$C$51,B533,$I$32:$I$51,"Ready"))</x:f>
      </x:c>
      <x:c r="I533" s="37" t="str">
        <x:f>IF(OR(B533="",$I$6&lt;&gt;"Complete"),"",I532+E533+G533-H533)</x:f>
      </x:c>
      <x:c r="J533" s="37" t="str">
        <x:f>IF(OR(B533="",$I$6&lt;&gt;"Complete"),"",'Inputs'!$C$49)</x:f>
      </x:c>
      <x:c r="K533" s="37" t="str">
        <x:f>IF(OR(B533="",$I$6&lt;&gt;"Complete"),"",I533-J533)</x:f>
      </x:c>
      <x:c r="L533" s="61" t="str">
        <x:f>IF(OR(B533="",$I$6&lt;&gt;"Complete"),"",IF(K533&lt;0,1,0))</x:f>
      </x:c>
    </x:row>
    <x:row r="534" ht="23" customHeight="1">
      <x:c r="A534" s="2"/>
      <x:c r="B534" s="60" t="str">
        <x:f>IF($D$6&lt;&gt;"Complete","",IF('Inputs'!$C$47+464&lt;=$D$9,'Inputs'!$C$47+464,""))</x:f>
      </x:c>
      <x:c r="C534" s="37" t="str">
        <x:f>IF(B534="","",SUMIFS($D$14:$D$23,$C$14:$C$23,B534))</x:f>
      </x:c>
      <x:c r="D534" s="37" t="str">
        <x:f>IF(B534="","",SUMIFS($E$14:$E$23,$C$14:$C$23,B534))</x:f>
      </x:c>
      <x:c r="E534" s="37" t="str">
        <x:f>IF(B534="","",C534-D534)</x:f>
      </x:c>
      <x:c r="F534" s="37" t="str">
        <x:f>IF(B534="","",F533+E534)</x:f>
      </x:c>
      <x:c r="G534" s="37" t="str">
        <x:f>IF(OR(B534="",$I$6&lt;&gt;"Complete"),"",SUMIFS($D$32:$D$51,$C$32:$C$51,B534,$I$32:$I$51,"Ready"))</x:f>
      </x:c>
      <x:c r="H534" s="37" t="str">
        <x:f>IF(OR(B534="",$I$6&lt;&gt;"Complete"),"",SUMIFS($E$32:$E$51,$C$32:$C$51,B534,$I$32:$I$51,"Ready"))</x:f>
      </x:c>
      <x:c r="I534" s="37" t="str">
        <x:f>IF(OR(B534="",$I$6&lt;&gt;"Complete"),"",I533+E534+G534-H534)</x:f>
      </x:c>
      <x:c r="J534" s="37" t="str">
        <x:f>IF(OR(B534="",$I$6&lt;&gt;"Complete"),"",'Inputs'!$C$49)</x:f>
      </x:c>
      <x:c r="K534" s="37" t="str">
        <x:f>IF(OR(B534="",$I$6&lt;&gt;"Complete"),"",I534-J534)</x:f>
      </x:c>
      <x:c r="L534" s="61" t="str">
        <x:f>IF(OR(B534="",$I$6&lt;&gt;"Complete"),"",IF(K534&lt;0,1,0))</x:f>
      </x:c>
    </x:row>
    <x:row r="535" ht="23" customHeight="1">
      <x:c r="A535" s="2"/>
      <x:c r="B535" s="60" t="str">
        <x:f>IF($D$6&lt;&gt;"Complete","",IF('Inputs'!$C$47+465&lt;=$D$9,'Inputs'!$C$47+465,""))</x:f>
      </x:c>
      <x:c r="C535" s="37" t="str">
        <x:f>IF(B535="","",SUMIFS($D$14:$D$23,$C$14:$C$23,B535))</x:f>
      </x:c>
      <x:c r="D535" s="37" t="str">
        <x:f>IF(B535="","",SUMIFS($E$14:$E$23,$C$14:$C$23,B535))</x:f>
      </x:c>
      <x:c r="E535" s="37" t="str">
        <x:f>IF(B535="","",C535-D535)</x:f>
      </x:c>
      <x:c r="F535" s="37" t="str">
        <x:f>IF(B535="","",F534+E535)</x:f>
      </x:c>
      <x:c r="G535" s="37" t="str">
        <x:f>IF(OR(B535="",$I$6&lt;&gt;"Complete"),"",SUMIFS($D$32:$D$51,$C$32:$C$51,B535,$I$32:$I$51,"Ready"))</x:f>
      </x:c>
      <x:c r="H535" s="37" t="str">
        <x:f>IF(OR(B535="",$I$6&lt;&gt;"Complete"),"",SUMIFS($E$32:$E$51,$C$32:$C$51,B535,$I$32:$I$51,"Ready"))</x:f>
      </x:c>
      <x:c r="I535" s="37" t="str">
        <x:f>IF(OR(B535="",$I$6&lt;&gt;"Complete"),"",I534+E535+G535-H535)</x:f>
      </x:c>
      <x:c r="J535" s="37" t="str">
        <x:f>IF(OR(B535="",$I$6&lt;&gt;"Complete"),"",'Inputs'!$C$49)</x:f>
      </x:c>
      <x:c r="K535" s="37" t="str">
        <x:f>IF(OR(B535="",$I$6&lt;&gt;"Complete"),"",I535-J535)</x:f>
      </x:c>
      <x:c r="L535" s="61" t="str">
        <x:f>IF(OR(B535="",$I$6&lt;&gt;"Complete"),"",IF(K535&lt;0,1,0))</x:f>
      </x:c>
    </x:row>
    <x:row r="536" ht="23" customHeight="1">
      <x:c r="A536" s="2"/>
      <x:c r="B536" s="60" t="str">
        <x:f>IF($D$6&lt;&gt;"Complete","",IF('Inputs'!$C$47+466&lt;=$D$9,'Inputs'!$C$47+466,""))</x:f>
      </x:c>
      <x:c r="C536" s="37" t="str">
        <x:f>IF(B536="","",SUMIFS($D$14:$D$23,$C$14:$C$23,B536))</x:f>
      </x:c>
      <x:c r="D536" s="37" t="str">
        <x:f>IF(B536="","",SUMIFS($E$14:$E$23,$C$14:$C$23,B536))</x:f>
      </x:c>
      <x:c r="E536" s="37" t="str">
        <x:f>IF(B536="","",C536-D536)</x:f>
      </x:c>
      <x:c r="F536" s="37" t="str">
        <x:f>IF(B536="","",F535+E536)</x:f>
      </x:c>
      <x:c r="G536" s="37" t="str">
        <x:f>IF(OR(B536="",$I$6&lt;&gt;"Complete"),"",SUMIFS($D$32:$D$51,$C$32:$C$51,B536,$I$32:$I$51,"Ready"))</x:f>
      </x:c>
      <x:c r="H536" s="37" t="str">
        <x:f>IF(OR(B536="",$I$6&lt;&gt;"Complete"),"",SUMIFS($E$32:$E$51,$C$32:$C$51,B536,$I$32:$I$51,"Ready"))</x:f>
      </x:c>
      <x:c r="I536" s="37" t="str">
        <x:f>IF(OR(B536="",$I$6&lt;&gt;"Complete"),"",I535+E536+G536-H536)</x:f>
      </x:c>
      <x:c r="J536" s="37" t="str">
        <x:f>IF(OR(B536="",$I$6&lt;&gt;"Complete"),"",'Inputs'!$C$49)</x:f>
      </x:c>
      <x:c r="K536" s="37" t="str">
        <x:f>IF(OR(B536="",$I$6&lt;&gt;"Complete"),"",I536-J536)</x:f>
      </x:c>
      <x:c r="L536" s="61" t="str">
        <x:f>IF(OR(B536="",$I$6&lt;&gt;"Complete"),"",IF(K536&lt;0,1,0))</x:f>
      </x:c>
    </x:row>
    <x:row r="537" ht="23" customHeight="1">
      <x:c r="A537" s="2"/>
      <x:c r="B537" s="60" t="str">
        <x:f>IF($D$6&lt;&gt;"Complete","",IF('Inputs'!$C$47+467&lt;=$D$9,'Inputs'!$C$47+467,""))</x:f>
      </x:c>
      <x:c r="C537" s="37" t="str">
        <x:f>IF(B537="","",SUMIFS($D$14:$D$23,$C$14:$C$23,B537))</x:f>
      </x:c>
      <x:c r="D537" s="37" t="str">
        <x:f>IF(B537="","",SUMIFS($E$14:$E$23,$C$14:$C$23,B537))</x:f>
      </x:c>
      <x:c r="E537" s="37" t="str">
        <x:f>IF(B537="","",C537-D537)</x:f>
      </x:c>
      <x:c r="F537" s="37" t="str">
        <x:f>IF(B537="","",F536+E537)</x:f>
      </x:c>
      <x:c r="G537" s="37" t="str">
        <x:f>IF(OR(B537="",$I$6&lt;&gt;"Complete"),"",SUMIFS($D$32:$D$51,$C$32:$C$51,B537,$I$32:$I$51,"Ready"))</x:f>
      </x:c>
      <x:c r="H537" s="37" t="str">
        <x:f>IF(OR(B537="",$I$6&lt;&gt;"Complete"),"",SUMIFS($E$32:$E$51,$C$32:$C$51,B537,$I$32:$I$51,"Ready"))</x:f>
      </x:c>
      <x:c r="I537" s="37" t="str">
        <x:f>IF(OR(B537="",$I$6&lt;&gt;"Complete"),"",I536+E537+G537-H537)</x:f>
      </x:c>
      <x:c r="J537" s="37" t="str">
        <x:f>IF(OR(B537="",$I$6&lt;&gt;"Complete"),"",'Inputs'!$C$49)</x:f>
      </x:c>
      <x:c r="K537" s="37" t="str">
        <x:f>IF(OR(B537="",$I$6&lt;&gt;"Complete"),"",I537-J537)</x:f>
      </x:c>
      <x:c r="L537" s="61" t="str">
        <x:f>IF(OR(B537="",$I$6&lt;&gt;"Complete"),"",IF(K537&lt;0,1,0))</x:f>
      </x:c>
    </x:row>
    <x:row r="538" ht="23" customHeight="1">
      <x:c r="A538" s="2"/>
      <x:c r="B538" s="60" t="str">
        <x:f>IF($D$6&lt;&gt;"Complete","",IF('Inputs'!$C$47+468&lt;=$D$9,'Inputs'!$C$47+468,""))</x:f>
      </x:c>
      <x:c r="C538" s="37" t="str">
        <x:f>IF(B538="","",SUMIFS($D$14:$D$23,$C$14:$C$23,B538))</x:f>
      </x:c>
      <x:c r="D538" s="37" t="str">
        <x:f>IF(B538="","",SUMIFS($E$14:$E$23,$C$14:$C$23,B538))</x:f>
      </x:c>
      <x:c r="E538" s="37" t="str">
        <x:f>IF(B538="","",C538-D538)</x:f>
      </x:c>
      <x:c r="F538" s="37" t="str">
        <x:f>IF(B538="","",F537+E538)</x:f>
      </x:c>
      <x:c r="G538" s="37" t="str">
        <x:f>IF(OR(B538="",$I$6&lt;&gt;"Complete"),"",SUMIFS($D$32:$D$51,$C$32:$C$51,B538,$I$32:$I$51,"Ready"))</x:f>
      </x:c>
      <x:c r="H538" s="37" t="str">
        <x:f>IF(OR(B538="",$I$6&lt;&gt;"Complete"),"",SUMIFS($E$32:$E$51,$C$32:$C$51,B538,$I$32:$I$51,"Ready"))</x:f>
      </x:c>
      <x:c r="I538" s="37" t="str">
        <x:f>IF(OR(B538="",$I$6&lt;&gt;"Complete"),"",I537+E538+G538-H538)</x:f>
      </x:c>
      <x:c r="J538" s="37" t="str">
        <x:f>IF(OR(B538="",$I$6&lt;&gt;"Complete"),"",'Inputs'!$C$49)</x:f>
      </x:c>
      <x:c r="K538" s="37" t="str">
        <x:f>IF(OR(B538="",$I$6&lt;&gt;"Complete"),"",I538-J538)</x:f>
      </x:c>
      <x:c r="L538" s="61" t="str">
        <x:f>IF(OR(B538="",$I$6&lt;&gt;"Complete"),"",IF(K538&lt;0,1,0))</x:f>
      </x:c>
    </x:row>
    <x:row r="539" ht="23" customHeight="1">
      <x:c r="A539" s="2"/>
      <x:c r="B539" s="60" t="str">
        <x:f>IF($D$6&lt;&gt;"Complete","",IF('Inputs'!$C$47+469&lt;=$D$9,'Inputs'!$C$47+469,""))</x:f>
      </x:c>
      <x:c r="C539" s="37" t="str">
        <x:f>IF(B539="","",SUMIFS($D$14:$D$23,$C$14:$C$23,B539))</x:f>
      </x:c>
      <x:c r="D539" s="37" t="str">
        <x:f>IF(B539="","",SUMIFS($E$14:$E$23,$C$14:$C$23,B539))</x:f>
      </x:c>
      <x:c r="E539" s="37" t="str">
        <x:f>IF(B539="","",C539-D539)</x:f>
      </x:c>
      <x:c r="F539" s="37" t="str">
        <x:f>IF(B539="","",F538+E539)</x:f>
      </x:c>
      <x:c r="G539" s="37" t="str">
        <x:f>IF(OR(B539="",$I$6&lt;&gt;"Complete"),"",SUMIFS($D$32:$D$51,$C$32:$C$51,B539,$I$32:$I$51,"Ready"))</x:f>
      </x:c>
      <x:c r="H539" s="37" t="str">
        <x:f>IF(OR(B539="",$I$6&lt;&gt;"Complete"),"",SUMIFS($E$32:$E$51,$C$32:$C$51,B539,$I$32:$I$51,"Ready"))</x:f>
      </x:c>
      <x:c r="I539" s="37" t="str">
        <x:f>IF(OR(B539="",$I$6&lt;&gt;"Complete"),"",I538+E539+G539-H539)</x:f>
      </x:c>
      <x:c r="J539" s="37" t="str">
        <x:f>IF(OR(B539="",$I$6&lt;&gt;"Complete"),"",'Inputs'!$C$49)</x:f>
      </x:c>
      <x:c r="K539" s="37" t="str">
        <x:f>IF(OR(B539="",$I$6&lt;&gt;"Complete"),"",I539-J539)</x:f>
      </x:c>
      <x:c r="L539" s="61" t="str">
        <x:f>IF(OR(B539="",$I$6&lt;&gt;"Complete"),"",IF(K539&lt;0,1,0))</x:f>
      </x:c>
    </x:row>
    <x:row r="540" ht="23" customHeight="1">
      <x:c r="A540" s="2"/>
      <x:c r="B540" s="60" t="str">
        <x:f>IF($D$6&lt;&gt;"Complete","",IF('Inputs'!$C$47+470&lt;=$D$9,'Inputs'!$C$47+470,""))</x:f>
      </x:c>
      <x:c r="C540" s="37" t="str">
        <x:f>IF(B540="","",SUMIFS($D$14:$D$23,$C$14:$C$23,B540))</x:f>
      </x:c>
      <x:c r="D540" s="37" t="str">
        <x:f>IF(B540="","",SUMIFS($E$14:$E$23,$C$14:$C$23,B540))</x:f>
      </x:c>
      <x:c r="E540" s="37" t="str">
        <x:f>IF(B540="","",C540-D540)</x:f>
      </x:c>
      <x:c r="F540" s="37" t="str">
        <x:f>IF(B540="","",F539+E540)</x:f>
      </x:c>
      <x:c r="G540" s="37" t="str">
        <x:f>IF(OR(B540="",$I$6&lt;&gt;"Complete"),"",SUMIFS($D$32:$D$51,$C$32:$C$51,B540,$I$32:$I$51,"Ready"))</x:f>
      </x:c>
      <x:c r="H540" s="37" t="str">
        <x:f>IF(OR(B540="",$I$6&lt;&gt;"Complete"),"",SUMIFS($E$32:$E$51,$C$32:$C$51,B540,$I$32:$I$51,"Ready"))</x:f>
      </x:c>
      <x:c r="I540" s="37" t="str">
        <x:f>IF(OR(B540="",$I$6&lt;&gt;"Complete"),"",I539+E540+G540-H540)</x:f>
      </x:c>
      <x:c r="J540" s="37" t="str">
        <x:f>IF(OR(B540="",$I$6&lt;&gt;"Complete"),"",'Inputs'!$C$49)</x:f>
      </x:c>
      <x:c r="K540" s="37" t="str">
        <x:f>IF(OR(B540="",$I$6&lt;&gt;"Complete"),"",I540-J540)</x:f>
      </x:c>
      <x:c r="L540" s="61" t="str">
        <x:f>IF(OR(B540="",$I$6&lt;&gt;"Complete"),"",IF(K540&lt;0,1,0))</x:f>
      </x:c>
    </x:row>
    <x:row r="541" ht="23" customHeight="1">
      <x:c r="A541" s="2"/>
      <x:c r="B541" s="60" t="str">
        <x:f>IF($D$6&lt;&gt;"Complete","",IF('Inputs'!$C$47+471&lt;=$D$9,'Inputs'!$C$47+471,""))</x:f>
      </x:c>
      <x:c r="C541" s="37" t="str">
        <x:f>IF(B541="","",SUMIFS($D$14:$D$23,$C$14:$C$23,B541))</x:f>
      </x:c>
      <x:c r="D541" s="37" t="str">
        <x:f>IF(B541="","",SUMIFS($E$14:$E$23,$C$14:$C$23,B541))</x:f>
      </x:c>
      <x:c r="E541" s="37" t="str">
        <x:f>IF(B541="","",C541-D541)</x:f>
      </x:c>
      <x:c r="F541" s="37" t="str">
        <x:f>IF(B541="","",F540+E541)</x:f>
      </x:c>
      <x:c r="G541" s="37" t="str">
        <x:f>IF(OR(B541="",$I$6&lt;&gt;"Complete"),"",SUMIFS($D$32:$D$51,$C$32:$C$51,B541,$I$32:$I$51,"Ready"))</x:f>
      </x:c>
      <x:c r="H541" s="37" t="str">
        <x:f>IF(OR(B541="",$I$6&lt;&gt;"Complete"),"",SUMIFS($E$32:$E$51,$C$32:$C$51,B541,$I$32:$I$51,"Ready"))</x:f>
      </x:c>
      <x:c r="I541" s="37" t="str">
        <x:f>IF(OR(B541="",$I$6&lt;&gt;"Complete"),"",I540+E541+G541-H541)</x:f>
      </x:c>
      <x:c r="J541" s="37" t="str">
        <x:f>IF(OR(B541="",$I$6&lt;&gt;"Complete"),"",'Inputs'!$C$49)</x:f>
      </x:c>
      <x:c r="K541" s="37" t="str">
        <x:f>IF(OR(B541="",$I$6&lt;&gt;"Complete"),"",I541-J541)</x:f>
      </x:c>
      <x:c r="L541" s="61" t="str">
        <x:f>IF(OR(B541="",$I$6&lt;&gt;"Complete"),"",IF(K541&lt;0,1,0))</x:f>
      </x:c>
    </x:row>
    <x:row r="542" ht="23" customHeight="1">
      <x:c r="A542" s="2"/>
      <x:c r="B542" s="60" t="str">
        <x:f>IF($D$6&lt;&gt;"Complete","",IF('Inputs'!$C$47+472&lt;=$D$9,'Inputs'!$C$47+472,""))</x:f>
      </x:c>
      <x:c r="C542" s="37" t="str">
        <x:f>IF(B542="","",SUMIFS($D$14:$D$23,$C$14:$C$23,B542))</x:f>
      </x:c>
      <x:c r="D542" s="37" t="str">
        <x:f>IF(B542="","",SUMIFS($E$14:$E$23,$C$14:$C$23,B542))</x:f>
      </x:c>
      <x:c r="E542" s="37" t="str">
        <x:f>IF(B542="","",C542-D542)</x:f>
      </x:c>
      <x:c r="F542" s="37" t="str">
        <x:f>IF(B542="","",F541+E542)</x:f>
      </x:c>
      <x:c r="G542" s="37" t="str">
        <x:f>IF(OR(B542="",$I$6&lt;&gt;"Complete"),"",SUMIFS($D$32:$D$51,$C$32:$C$51,B542,$I$32:$I$51,"Ready"))</x:f>
      </x:c>
      <x:c r="H542" s="37" t="str">
        <x:f>IF(OR(B542="",$I$6&lt;&gt;"Complete"),"",SUMIFS($E$32:$E$51,$C$32:$C$51,B542,$I$32:$I$51,"Ready"))</x:f>
      </x:c>
      <x:c r="I542" s="37" t="str">
        <x:f>IF(OR(B542="",$I$6&lt;&gt;"Complete"),"",I541+E542+G542-H542)</x:f>
      </x:c>
      <x:c r="J542" s="37" t="str">
        <x:f>IF(OR(B542="",$I$6&lt;&gt;"Complete"),"",'Inputs'!$C$49)</x:f>
      </x:c>
      <x:c r="K542" s="37" t="str">
        <x:f>IF(OR(B542="",$I$6&lt;&gt;"Complete"),"",I542-J542)</x:f>
      </x:c>
      <x:c r="L542" s="61" t="str">
        <x:f>IF(OR(B542="",$I$6&lt;&gt;"Complete"),"",IF(K542&lt;0,1,0))</x:f>
      </x:c>
    </x:row>
    <x:row r="543" ht="23" customHeight="1">
      <x:c r="A543" s="2"/>
      <x:c r="B543" s="60" t="str">
        <x:f>IF($D$6&lt;&gt;"Complete","",IF('Inputs'!$C$47+473&lt;=$D$9,'Inputs'!$C$47+473,""))</x:f>
      </x:c>
      <x:c r="C543" s="37" t="str">
        <x:f>IF(B543="","",SUMIFS($D$14:$D$23,$C$14:$C$23,B543))</x:f>
      </x:c>
      <x:c r="D543" s="37" t="str">
        <x:f>IF(B543="","",SUMIFS($E$14:$E$23,$C$14:$C$23,B543))</x:f>
      </x:c>
      <x:c r="E543" s="37" t="str">
        <x:f>IF(B543="","",C543-D543)</x:f>
      </x:c>
      <x:c r="F543" s="37" t="str">
        <x:f>IF(B543="","",F542+E543)</x:f>
      </x:c>
      <x:c r="G543" s="37" t="str">
        <x:f>IF(OR(B543="",$I$6&lt;&gt;"Complete"),"",SUMIFS($D$32:$D$51,$C$32:$C$51,B543,$I$32:$I$51,"Ready"))</x:f>
      </x:c>
      <x:c r="H543" s="37" t="str">
        <x:f>IF(OR(B543="",$I$6&lt;&gt;"Complete"),"",SUMIFS($E$32:$E$51,$C$32:$C$51,B543,$I$32:$I$51,"Ready"))</x:f>
      </x:c>
      <x:c r="I543" s="37" t="str">
        <x:f>IF(OR(B543="",$I$6&lt;&gt;"Complete"),"",I542+E543+G543-H543)</x:f>
      </x:c>
      <x:c r="J543" s="37" t="str">
        <x:f>IF(OR(B543="",$I$6&lt;&gt;"Complete"),"",'Inputs'!$C$49)</x:f>
      </x:c>
      <x:c r="K543" s="37" t="str">
        <x:f>IF(OR(B543="",$I$6&lt;&gt;"Complete"),"",I543-J543)</x:f>
      </x:c>
      <x:c r="L543" s="61" t="str">
        <x:f>IF(OR(B543="",$I$6&lt;&gt;"Complete"),"",IF(K543&lt;0,1,0))</x:f>
      </x:c>
    </x:row>
    <x:row r="544" ht="23" customHeight="1">
      <x:c r="A544" s="2"/>
      <x:c r="B544" s="60" t="str">
        <x:f>IF($D$6&lt;&gt;"Complete","",IF('Inputs'!$C$47+474&lt;=$D$9,'Inputs'!$C$47+474,""))</x:f>
      </x:c>
      <x:c r="C544" s="37" t="str">
        <x:f>IF(B544="","",SUMIFS($D$14:$D$23,$C$14:$C$23,B544))</x:f>
      </x:c>
      <x:c r="D544" s="37" t="str">
        <x:f>IF(B544="","",SUMIFS($E$14:$E$23,$C$14:$C$23,B544))</x:f>
      </x:c>
      <x:c r="E544" s="37" t="str">
        <x:f>IF(B544="","",C544-D544)</x:f>
      </x:c>
      <x:c r="F544" s="37" t="str">
        <x:f>IF(B544="","",F543+E544)</x:f>
      </x:c>
      <x:c r="G544" s="37" t="str">
        <x:f>IF(OR(B544="",$I$6&lt;&gt;"Complete"),"",SUMIFS($D$32:$D$51,$C$32:$C$51,B544,$I$32:$I$51,"Ready"))</x:f>
      </x:c>
      <x:c r="H544" s="37" t="str">
        <x:f>IF(OR(B544="",$I$6&lt;&gt;"Complete"),"",SUMIFS($E$32:$E$51,$C$32:$C$51,B544,$I$32:$I$51,"Ready"))</x:f>
      </x:c>
      <x:c r="I544" s="37" t="str">
        <x:f>IF(OR(B544="",$I$6&lt;&gt;"Complete"),"",I543+E544+G544-H544)</x:f>
      </x:c>
      <x:c r="J544" s="37" t="str">
        <x:f>IF(OR(B544="",$I$6&lt;&gt;"Complete"),"",'Inputs'!$C$49)</x:f>
      </x:c>
      <x:c r="K544" s="37" t="str">
        <x:f>IF(OR(B544="",$I$6&lt;&gt;"Complete"),"",I544-J544)</x:f>
      </x:c>
      <x:c r="L544" s="61" t="str">
        <x:f>IF(OR(B544="",$I$6&lt;&gt;"Complete"),"",IF(K544&lt;0,1,0))</x:f>
      </x:c>
    </x:row>
    <x:row r="545" ht="23" customHeight="1">
      <x:c r="A545" s="2"/>
      <x:c r="B545" s="60" t="str">
        <x:f>IF($D$6&lt;&gt;"Complete","",IF('Inputs'!$C$47+475&lt;=$D$9,'Inputs'!$C$47+475,""))</x:f>
      </x:c>
      <x:c r="C545" s="37" t="str">
        <x:f>IF(B545="","",SUMIFS($D$14:$D$23,$C$14:$C$23,B545))</x:f>
      </x:c>
      <x:c r="D545" s="37" t="str">
        <x:f>IF(B545="","",SUMIFS($E$14:$E$23,$C$14:$C$23,B545))</x:f>
      </x:c>
      <x:c r="E545" s="37" t="str">
        <x:f>IF(B545="","",C545-D545)</x:f>
      </x:c>
      <x:c r="F545" s="37" t="str">
        <x:f>IF(B545="","",F544+E545)</x:f>
      </x:c>
      <x:c r="G545" s="37" t="str">
        <x:f>IF(OR(B545="",$I$6&lt;&gt;"Complete"),"",SUMIFS($D$32:$D$51,$C$32:$C$51,B545,$I$32:$I$51,"Ready"))</x:f>
      </x:c>
      <x:c r="H545" s="37" t="str">
        <x:f>IF(OR(B545="",$I$6&lt;&gt;"Complete"),"",SUMIFS($E$32:$E$51,$C$32:$C$51,B545,$I$32:$I$51,"Ready"))</x:f>
      </x:c>
      <x:c r="I545" s="37" t="str">
        <x:f>IF(OR(B545="",$I$6&lt;&gt;"Complete"),"",I544+E545+G545-H545)</x:f>
      </x:c>
      <x:c r="J545" s="37" t="str">
        <x:f>IF(OR(B545="",$I$6&lt;&gt;"Complete"),"",'Inputs'!$C$49)</x:f>
      </x:c>
      <x:c r="K545" s="37" t="str">
        <x:f>IF(OR(B545="",$I$6&lt;&gt;"Complete"),"",I545-J545)</x:f>
      </x:c>
      <x:c r="L545" s="61" t="str">
        <x:f>IF(OR(B545="",$I$6&lt;&gt;"Complete"),"",IF(K545&lt;0,1,0))</x:f>
      </x:c>
    </x:row>
    <x:row r="546" ht="23" customHeight="1">
      <x:c r="A546" s="2"/>
      <x:c r="B546" s="60" t="str">
        <x:f>IF($D$6&lt;&gt;"Complete","",IF('Inputs'!$C$47+476&lt;=$D$9,'Inputs'!$C$47+476,""))</x:f>
      </x:c>
      <x:c r="C546" s="37" t="str">
        <x:f>IF(B546="","",SUMIFS($D$14:$D$23,$C$14:$C$23,B546))</x:f>
      </x:c>
      <x:c r="D546" s="37" t="str">
        <x:f>IF(B546="","",SUMIFS($E$14:$E$23,$C$14:$C$23,B546))</x:f>
      </x:c>
      <x:c r="E546" s="37" t="str">
        <x:f>IF(B546="","",C546-D546)</x:f>
      </x:c>
      <x:c r="F546" s="37" t="str">
        <x:f>IF(B546="","",F545+E546)</x:f>
      </x:c>
      <x:c r="G546" s="37" t="str">
        <x:f>IF(OR(B546="",$I$6&lt;&gt;"Complete"),"",SUMIFS($D$32:$D$51,$C$32:$C$51,B546,$I$32:$I$51,"Ready"))</x:f>
      </x:c>
      <x:c r="H546" s="37" t="str">
        <x:f>IF(OR(B546="",$I$6&lt;&gt;"Complete"),"",SUMIFS($E$32:$E$51,$C$32:$C$51,B546,$I$32:$I$51,"Ready"))</x:f>
      </x:c>
      <x:c r="I546" s="37" t="str">
        <x:f>IF(OR(B546="",$I$6&lt;&gt;"Complete"),"",I545+E546+G546-H546)</x:f>
      </x:c>
      <x:c r="J546" s="37" t="str">
        <x:f>IF(OR(B546="",$I$6&lt;&gt;"Complete"),"",'Inputs'!$C$49)</x:f>
      </x:c>
      <x:c r="K546" s="37" t="str">
        <x:f>IF(OR(B546="",$I$6&lt;&gt;"Complete"),"",I546-J546)</x:f>
      </x:c>
      <x:c r="L546" s="61" t="str">
        <x:f>IF(OR(B546="",$I$6&lt;&gt;"Complete"),"",IF(K546&lt;0,1,0))</x:f>
      </x:c>
    </x:row>
    <x:row r="547" ht="23" customHeight="1">
      <x:c r="A547" s="2"/>
      <x:c r="B547" s="60" t="str">
        <x:f>IF($D$6&lt;&gt;"Complete","",IF('Inputs'!$C$47+477&lt;=$D$9,'Inputs'!$C$47+477,""))</x:f>
      </x:c>
      <x:c r="C547" s="37" t="str">
        <x:f>IF(B547="","",SUMIFS($D$14:$D$23,$C$14:$C$23,B547))</x:f>
      </x:c>
      <x:c r="D547" s="37" t="str">
        <x:f>IF(B547="","",SUMIFS($E$14:$E$23,$C$14:$C$23,B547))</x:f>
      </x:c>
      <x:c r="E547" s="37" t="str">
        <x:f>IF(B547="","",C547-D547)</x:f>
      </x:c>
      <x:c r="F547" s="37" t="str">
        <x:f>IF(B547="","",F546+E547)</x:f>
      </x:c>
      <x:c r="G547" s="37" t="str">
        <x:f>IF(OR(B547="",$I$6&lt;&gt;"Complete"),"",SUMIFS($D$32:$D$51,$C$32:$C$51,B547,$I$32:$I$51,"Ready"))</x:f>
      </x:c>
      <x:c r="H547" s="37" t="str">
        <x:f>IF(OR(B547="",$I$6&lt;&gt;"Complete"),"",SUMIFS($E$32:$E$51,$C$32:$C$51,B547,$I$32:$I$51,"Ready"))</x:f>
      </x:c>
      <x:c r="I547" s="37" t="str">
        <x:f>IF(OR(B547="",$I$6&lt;&gt;"Complete"),"",I546+E547+G547-H547)</x:f>
      </x:c>
      <x:c r="J547" s="37" t="str">
        <x:f>IF(OR(B547="",$I$6&lt;&gt;"Complete"),"",'Inputs'!$C$49)</x:f>
      </x:c>
      <x:c r="K547" s="37" t="str">
        <x:f>IF(OR(B547="",$I$6&lt;&gt;"Complete"),"",I547-J547)</x:f>
      </x:c>
      <x:c r="L547" s="61" t="str">
        <x:f>IF(OR(B547="",$I$6&lt;&gt;"Complete"),"",IF(K547&lt;0,1,0))</x:f>
      </x:c>
    </x:row>
    <x:row r="548" ht="23" customHeight="1">
      <x:c r="A548" s="2"/>
      <x:c r="B548" s="60" t="str">
        <x:f>IF($D$6&lt;&gt;"Complete","",IF('Inputs'!$C$47+478&lt;=$D$9,'Inputs'!$C$47+478,""))</x:f>
      </x:c>
      <x:c r="C548" s="37" t="str">
        <x:f>IF(B548="","",SUMIFS($D$14:$D$23,$C$14:$C$23,B548))</x:f>
      </x:c>
      <x:c r="D548" s="37" t="str">
        <x:f>IF(B548="","",SUMIFS($E$14:$E$23,$C$14:$C$23,B548))</x:f>
      </x:c>
      <x:c r="E548" s="37" t="str">
        <x:f>IF(B548="","",C548-D548)</x:f>
      </x:c>
      <x:c r="F548" s="37" t="str">
        <x:f>IF(B548="","",F547+E548)</x:f>
      </x:c>
      <x:c r="G548" s="37" t="str">
        <x:f>IF(OR(B548="",$I$6&lt;&gt;"Complete"),"",SUMIFS($D$32:$D$51,$C$32:$C$51,B548,$I$32:$I$51,"Ready"))</x:f>
      </x:c>
      <x:c r="H548" s="37" t="str">
        <x:f>IF(OR(B548="",$I$6&lt;&gt;"Complete"),"",SUMIFS($E$32:$E$51,$C$32:$C$51,B548,$I$32:$I$51,"Ready"))</x:f>
      </x:c>
      <x:c r="I548" s="37" t="str">
        <x:f>IF(OR(B548="",$I$6&lt;&gt;"Complete"),"",I547+E548+G548-H548)</x:f>
      </x:c>
      <x:c r="J548" s="37" t="str">
        <x:f>IF(OR(B548="",$I$6&lt;&gt;"Complete"),"",'Inputs'!$C$49)</x:f>
      </x:c>
      <x:c r="K548" s="37" t="str">
        <x:f>IF(OR(B548="",$I$6&lt;&gt;"Complete"),"",I548-J548)</x:f>
      </x:c>
      <x:c r="L548" s="61" t="str">
        <x:f>IF(OR(B548="",$I$6&lt;&gt;"Complete"),"",IF(K548&lt;0,1,0))</x:f>
      </x:c>
    </x:row>
    <x:row r="549" ht="23" customHeight="1">
      <x:c r="A549" s="2"/>
      <x:c r="B549" s="60" t="str">
        <x:f>IF($D$6&lt;&gt;"Complete","",IF('Inputs'!$C$47+479&lt;=$D$9,'Inputs'!$C$47+479,""))</x:f>
      </x:c>
      <x:c r="C549" s="37" t="str">
        <x:f>IF(B549="","",SUMIFS($D$14:$D$23,$C$14:$C$23,B549))</x:f>
      </x:c>
      <x:c r="D549" s="37" t="str">
        <x:f>IF(B549="","",SUMIFS($E$14:$E$23,$C$14:$C$23,B549))</x:f>
      </x:c>
      <x:c r="E549" s="37" t="str">
        <x:f>IF(B549="","",C549-D549)</x:f>
      </x:c>
      <x:c r="F549" s="37" t="str">
        <x:f>IF(B549="","",F548+E549)</x:f>
      </x:c>
      <x:c r="G549" s="37" t="str">
        <x:f>IF(OR(B549="",$I$6&lt;&gt;"Complete"),"",SUMIFS($D$32:$D$51,$C$32:$C$51,B549,$I$32:$I$51,"Ready"))</x:f>
      </x:c>
      <x:c r="H549" s="37" t="str">
        <x:f>IF(OR(B549="",$I$6&lt;&gt;"Complete"),"",SUMIFS($E$32:$E$51,$C$32:$C$51,B549,$I$32:$I$51,"Ready"))</x:f>
      </x:c>
      <x:c r="I549" s="37" t="str">
        <x:f>IF(OR(B549="",$I$6&lt;&gt;"Complete"),"",I548+E549+G549-H549)</x:f>
      </x:c>
      <x:c r="J549" s="37" t="str">
        <x:f>IF(OR(B549="",$I$6&lt;&gt;"Complete"),"",'Inputs'!$C$49)</x:f>
      </x:c>
      <x:c r="K549" s="37" t="str">
        <x:f>IF(OR(B549="",$I$6&lt;&gt;"Complete"),"",I549-J549)</x:f>
      </x:c>
      <x:c r="L549" s="61" t="str">
        <x:f>IF(OR(B549="",$I$6&lt;&gt;"Complete"),"",IF(K549&lt;0,1,0))</x:f>
      </x:c>
    </x:row>
    <x:row r="550" ht="23" customHeight="1">
      <x:c r="A550" s="2"/>
      <x:c r="B550" s="60" t="str">
        <x:f>IF($D$6&lt;&gt;"Complete","",IF('Inputs'!$C$47+480&lt;=$D$9,'Inputs'!$C$47+480,""))</x:f>
      </x:c>
      <x:c r="C550" s="37" t="str">
        <x:f>IF(B550="","",SUMIFS($D$14:$D$23,$C$14:$C$23,B550))</x:f>
      </x:c>
      <x:c r="D550" s="37" t="str">
        <x:f>IF(B550="","",SUMIFS($E$14:$E$23,$C$14:$C$23,B550))</x:f>
      </x:c>
      <x:c r="E550" s="37" t="str">
        <x:f>IF(B550="","",C550-D550)</x:f>
      </x:c>
      <x:c r="F550" s="37" t="str">
        <x:f>IF(B550="","",F549+E550)</x:f>
      </x:c>
      <x:c r="G550" s="37" t="str">
        <x:f>IF(OR(B550="",$I$6&lt;&gt;"Complete"),"",SUMIFS($D$32:$D$51,$C$32:$C$51,B550,$I$32:$I$51,"Ready"))</x:f>
      </x:c>
      <x:c r="H550" s="37" t="str">
        <x:f>IF(OR(B550="",$I$6&lt;&gt;"Complete"),"",SUMIFS($E$32:$E$51,$C$32:$C$51,B550,$I$32:$I$51,"Ready"))</x:f>
      </x:c>
      <x:c r="I550" s="37" t="str">
        <x:f>IF(OR(B550="",$I$6&lt;&gt;"Complete"),"",I549+E550+G550-H550)</x:f>
      </x:c>
      <x:c r="J550" s="37" t="str">
        <x:f>IF(OR(B550="",$I$6&lt;&gt;"Complete"),"",'Inputs'!$C$49)</x:f>
      </x:c>
      <x:c r="K550" s="37" t="str">
        <x:f>IF(OR(B550="",$I$6&lt;&gt;"Complete"),"",I550-J550)</x:f>
      </x:c>
      <x:c r="L550" s="61" t="str">
        <x:f>IF(OR(B550="",$I$6&lt;&gt;"Complete"),"",IF(K550&lt;0,1,0))</x:f>
      </x:c>
    </x:row>
    <x:row r="551" ht="23" customHeight="1">
      <x:c r="A551" s="2"/>
      <x:c r="B551" s="60" t="str">
        <x:f>IF($D$6&lt;&gt;"Complete","",IF('Inputs'!$C$47+481&lt;=$D$9,'Inputs'!$C$47+481,""))</x:f>
      </x:c>
      <x:c r="C551" s="37" t="str">
        <x:f>IF(B551="","",SUMIFS($D$14:$D$23,$C$14:$C$23,B551))</x:f>
      </x:c>
      <x:c r="D551" s="37" t="str">
        <x:f>IF(B551="","",SUMIFS($E$14:$E$23,$C$14:$C$23,B551))</x:f>
      </x:c>
      <x:c r="E551" s="37" t="str">
        <x:f>IF(B551="","",C551-D551)</x:f>
      </x:c>
      <x:c r="F551" s="37" t="str">
        <x:f>IF(B551="","",F550+E551)</x:f>
      </x:c>
      <x:c r="G551" s="37" t="str">
        <x:f>IF(OR(B551="",$I$6&lt;&gt;"Complete"),"",SUMIFS($D$32:$D$51,$C$32:$C$51,B551,$I$32:$I$51,"Ready"))</x:f>
      </x:c>
      <x:c r="H551" s="37" t="str">
        <x:f>IF(OR(B551="",$I$6&lt;&gt;"Complete"),"",SUMIFS($E$32:$E$51,$C$32:$C$51,B551,$I$32:$I$51,"Ready"))</x:f>
      </x:c>
      <x:c r="I551" s="37" t="str">
        <x:f>IF(OR(B551="",$I$6&lt;&gt;"Complete"),"",I550+E551+G551-H551)</x:f>
      </x:c>
      <x:c r="J551" s="37" t="str">
        <x:f>IF(OR(B551="",$I$6&lt;&gt;"Complete"),"",'Inputs'!$C$49)</x:f>
      </x:c>
      <x:c r="K551" s="37" t="str">
        <x:f>IF(OR(B551="",$I$6&lt;&gt;"Complete"),"",I551-J551)</x:f>
      </x:c>
      <x:c r="L551" s="61" t="str">
        <x:f>IF(OR(B551="",$I$6&lt;&gt;"Complete"),"",IF(K551&lt;0,1,0))</x:f>
      </x:c>
    </x:row>
    <x:row r="552" ht="23" customHeight="1">
      <x:c r="A552" s="2"/>
      <x:c r="B552" s="60" t="str">
        <x:f>IF($D$6&lt;&gt;"Complete","",IF('Inputs'!$C$47+482&lt;=$D$9,'Inputs'!$C$47+482,""))</x:f>
      </x:c>
      <x:c r="C552" s="37" t="str">
        <x:f>IF(B552="","",SUMIFS($D$14:$D$23,$C$14:$C$23,B552))</x:f>
      </x:c>
      <x:c r="D552" s="37" t="str">
        <x:f>IF(B552="","",SUMIFS($E$14:$E$23,$C$14:$C$23,B552))</x:f>
      </x:c>
      <x:c r="E552" s="37" t="str">
        <x:f>IF(B552="","",C552-D552)</x:f>
      </x:c>
      <x:c r="F552" s="37" t="str">
        <x:f>IF(B552="","",F551+E552)</x:f>
      </x:c>
      <x:c r="G552" s="37" t="str">
        <x:f>IF(OR(B552="",$I$6&lt;&gt;"Complete"),"",SUMIFS($D$32:$D$51,$C$32:$C$51,B552,$I$32:$I$51,"Ready"))</x:f>
      </x:c>
      <x:c r="H552" s="37" t="str">
        <x:f>IF(OR(B552="",$I$6&lt;&gt;"Complete"),"",SUMIFS($E$32:$E$51,$C$32:$C$51,B552,$I$32:$I$51,"Ready"))</x:f>
      </x:c>
      <x:c r="I552" s="37" t="str">
        <x:f>IF(OR(B552="",$I$6&lt;&gt;"Complete"),"",I551+E552+G552-H552)</x:f>
      </x:c>
      <x:c r="J552" s="37" t="str">
        <x:f>IF(OR(B552="",$I$6&lt;&gt;"Complete"),"",'Inputs'!$C$49)</x:f>
      </x:c>
      <x:c r="K552" s="37" t="str">
        <x:f>IF(OR(B552="",$I$6&lt;&gt;"Complete"),"",I552-J552)</x:f>
      </x:c>
      <x:c r="L552" s="61" t="str">
        <x:f>IF(OR(B552="",$I$6&lt;&gt;"Complete"),"",IF(K552&lt;0,1,0))</x:f>
      </x:c>
    </x:row>
    <x:row r="553" ht="23" customHeight="1">
      <x:c r="A553" s="2"/>
      <x:c r="B553" s="60" t="str">
        <x:f>IF($D$6&lt;&gt;"Complete","",IF('Inputs'!$C$47+483&lt;=$D$9,'Inputs'!$C$47+483,""))</x:f>
      </x:c>
      <x:c r="C553" s="37" t="str">
        <x:f>IF(B553="","",SUMIFS($D$14:$D$23,$C$14:$C$23,B553))</x:f>
      </x:c>
      <x:c r="D553" s="37" t="str">
        <x:f>IF(B553="","",SUMIFS($E$14:$E$23,$C$14:$C$23,B553))</x:f>
      </x:c>
      <x:c r="E553" s="37" t="str">
        <x:f>IF(B553="","",C553-D553)</x:f>
      </x:c>
      <x:c r="F553" s="37" t="str">
        <x:f>IF(B553="","",F552+E553)</x:f>
      </x:c>
      <x:c r="G553" s="37" t="str">
        <x:f>IF(OR(B553="",$I$6&lt;&gt;"Complete"),"",SUMIFS($D$32:$D$51,$C$32:$C$51,B553,$I$32:$I$51,"Ready"))</x:f>
      </x:c>
      <x:c r="H553" s="37" t="str">
        <x:f>IF(OR(B553="",$I$6&lt;&gt;"Complete"),"",SUMIFS($E$32:$E$51,$C$32:$C$51,B553,$I$32:$I$51,"Ready"))</x:f>
      </x:c>
      <x:c r="I553" s="37" t="str">
        <x:f>IF(OR(B553="",$I$6&lt;&gt;"Complete"),"",I552+E553+G553-H553)</x:f>
      </x:c>
      <x:c r="J553" s="37" t="str">
        <x:f>IF(OR(B553="",$I$6&lt;&gt;"Complete"),"",'Inputs'!$C$49)</x:f>
      </x:c>
      <x:c r="K553" s="37" t="str">
        <x:f>IF(OR(B553="",$I$6&lt;&gt;"Complete"),"",I553-J553)</x:f>
      </x:c>
      <x:c r="L553" s="61" t="str">
        <x:f>IF(OR(B553="",$I$6&lt;&gt;"Complete"),"",IF(K553&lt;0,1,0))</x:f>
      </x:c>
    </x:row>
    <x:row r="554" ht="23" customHeight="1">
      <x:c r="A554" s="2"/>
      <x:c r="B554" s="60" t="str">
        <x:f>IF($D$6&lt;&gt;"Complete","",IF('Inputs'!$C$47+484&lt;=$D$9,'Inputs'!$C$47+484,""))</x:f>
      </x:c>
      <x:c r="C554" s="37" t="str">
        <x:f>IF(B554="","",SUMIFS($D$14:$D$23,$C$14:$C$23,B554))</x:f>
      </x:c>
      <x:c r="D554" s="37" t="str">
        <x:f>IF(B554="","",SUMIFS($E$14:$E$23,$C$14:$C$23,B554))</x:f>
      </x:c>
      <x:c r="E554" s="37" t="str">
        <x:f>IF(B554="","",C554-D554)</x:f>
      </x:c>
      <x:c r="F554" s="37" t="str">
        <x:f>IF(B554="","",F553+E554)</x:f>
      </x:c>
      <x:c r="G554" s="37" t="str">
        <x:f>IF(OR(B554="",$I$6&lt;&gt;"Complete"),"",SUMIFS($D$32:$D$51,$C$32:$C$51,B554,$I$32:$I$51,"Ready"))</x:f>
      </x:c>
      <x:c r="H554" s="37" t="str">
        <x:f>IF(OR(B554="",$I$6&lt;&gt;"Complete"),"",SUMIFS($E$32:$E$51,$C$32:$C$51,B554,$I$32:$I$51,"Ready"))</x:f>
      </x:c>
      <x:c r="I554" s="37" t="str">
        <x:f>IF(OR(B554="",$I$6&lt;&gt;"Complete"),"",I553+E554+G554-H554)</x:f>
      </x:c>
      <x:c r="J554" s="37" t="str">
        <x:f>IF(OR(B554="",$I$6&lt;&gt;"Complete"),"",'Inputs'!$C$49)</x:f>
      </x:c>
      <x:c r="K554" s="37" t="str">
        <x:f>IF(OR(B554="",$I$6&lt;&gt;"Complete"),"",I554-J554)</x:f>
      </x:c>
      <x:c r="L554" s="61" t="str">
        <x:f>IF(OR(B554="",$I$6&lt;&gt;"Complete"),"",IF(K554&lt;0,1,0))</x:f>
      </x:c>
    </x:row>
    <x:row r="555" ht="23" customHeight="1">
      <x:c r="A555" s="2"/>
      <x:c r="B555" s="60" t="str">
        <x:f>IF($D$6&lt;&gt;"Complete","",IF('Inputs'!$C$47+485&lt;=$D$9,'Inputs'!$C$47+485,""))</x:f>
      </x:c>
      <x:c r="C555" s="37" t="str">
        <x:f>IF(B555="","",SUMIFS($D$14:$D$23,$C$14:$C$23,B555))</x:f>
      </x:c>
      <x:c r="D555" s="37" t="str">
        <x:f>IF(B555="","",SUMIFS($E$14:$E$23,$C$14:$C$23,B555))</x:f>
      </x:c>
      <x:c r="E555" s="37" t="str">
        <x:f>IF(B555="","",C555-D555)</x:f>
      </x:c>
      <x:c r="F555" s="37" t="str">
        <x:f>IF(B555="","",F554+E555)</x:f>
      </x:c>
      <x:c r="G555" s="37" t="str">
        <x:f>IF(OR(B555="",$I$6&lt;&gt;"Complete"),"",SUMIFS($D$32:$D$51,$C$32:$C$51,B555,$I$32:$I$51,"Ready"))</x:f>
      </x:c>
      <x:c r="H555" s="37" t="str">
        <x:f>IF(OR(B555="",$I$6&lt;&gt;"Complete"),"",SUMIFS($E$32:$E$51,$C$32:$C$51,B555,$I$32:$I$51,"Ready"))</x:f>
      </x:c>
      <x:c r="I555" s="37" t="str">
        <x:f>IF(OR(B555="",$I$6&lt;&gt;"Complete"),"",I554+E555+G555-H555)</x:f>
      </x:c>
      <x:c r="J555" s="37" t="str">
        <x:f>IF(OR(B555="",$I$6&lt;&gt;"Complete"),"",'Inputs'!$C$49)</x:f>
      </x:c>
      <x:c r="K555" s="37" t="str">
        <x:f>IF(OR(B555="",$I$6&lt;&gt;"Complete"),"",I555-J555)</x:f>
      </x:c>
      <x:c r="L555" s="61" t="str">
        <x:f>IF(OR(B555="",$I$6&lt;&gt;"Complete"),"",IF(K555&lt;0,1,0))</x:f>
      </x:c>
    </x:row>
    <x:row r="556" ht="23" customHeight="1">
      <x:c r="A556" s="2"/>
      <x:c r="B556" s="60" t="str">
        <x:f>IF($D$6&lt;&gt;"Complete","",IF('Inputs'!$C$47+486&lt;=$D$9,'Inputs'!$C$47+486,""))</x:f>
      </x:c>
      <x:c r="C556" s="37" t="str">
        <x:f>IF(B556="","",SUMIFS($D$14:$D$23,$C$14:$C$23,B556))</x:f>
      </x:c>
      <x:c r="D556" s="37" t="str">
        <x:f>IF(B556="","",SUMIFS($E$14:$E$23,$C$14:$C$23,B556))</x:f>
      </x:c>
      <x:c r="E556" s="37" t="str">
        <x:f>IF(B556="","",C556-D556)</x:f>
      </x:c>
      <x:c r="F556" s="37" t="str">
        <x:f>IF(B556="","",F555+E556)</x:f>
      </x:c>
      <x:c r="G556" s="37" t="str">
        <x:f>IF(OR(B556="",$I$6&lt;&gt;"Complete"),"",SUMIFS($D$32:$D$51,$C$32:$C$51,B556,$I$32:$I$51,"Ready"))</x:f>
      </x:c>
      <x:c r="H556" s="37" t="str">
        <x:f>IF(OR(B556="",$I$6&lt;&gt;"Complete"),"",SUMIFS($E$32:$E$51,$C$32:$C$51,B556,$I$32:$I$51,"Ready"))</x:f>
      </x:c>
      <x:c r="I556" s="37" t="str">
        <x:f>IF(OR(B556="",$I$6&lt;&gt;"Complete"),"",I555+E556+G556-H556)</x:f>
      </x:c>
      <x:c r="J556" s="37" t="str">
        <x:f>IF(OR(B556="",$I$6&lt;&gt;"Complete"),"",'Inputs'!$C$49)</x:f>
      </x:c>
      <x:c r="K556" s="37" t="str">
        <x:f>IF(OR(B556="",$I$6&lt;&gt;"Complete"),"",I556-J556)</x:f>
      </x:c>
      <x:c r="L556" s="61" t="str">
        <x:f>IF(OR(B556="",$I$6&lt;&gt;"Complete"),"",IF(K556&lt;0,1,0))</x:f>
      </x:c>
    </x:row>
    <x:row r="557" ht="23" customHeight="1">
      <x:c r="A557" s="2"/>
      <x:c r="B557" s="60" t="str">
        <x:f>IF($D$6&lt;&gt;"Complete","",IF('Inputs'!$C$47+487&lt;=$D$9,'Inputs'!$C$47+487,""))</x:f>
      </x:c>
      <x:c r="C557" s="37" t="str">
        <x:f>IF(B557="","",SUMIFS($D$14:$D$23,$C$14:$C$23,B557))</x:f>
      </x:c>
      <x:c r="D557" s="37" t="str">
        <x:f>IF(B557="","",SUMIFS($E$14:$E$23,$C$14:$C$23,B557))</x:f>
      </x:c>
      <x:c r="E557" s="37" t="str">
        <x:f>IF(B557="","",C557-D557)</x:f>
      </x:c>
      <x:c r="F557" s="37" t="str">
        <x:f>IF(B557="","",F556+E557)</x:f>
      </x:c>
      <x:c r="G557" s="37" t="str">
        <x:f>IF(OR(B557="",$I$6&lt;&gt;"Complete"),"",SUMIFS($D$32:$D$51,$C$32:$C$51,B557,$I$32:$I$51,"Ready"))</x:f>
      </x:c>
      <x:c r="H557" s="37" t="str">
        <x:f>IF(OR(B557="",$I$6&lt;&gt;"Complete"),"",SUMIFS($E$32:$E$51,$C$32:$C$51,B557,$I$32:$I$51,"Ready"))</x:f>
      </x:c>
      <x:c r="I557" s="37" t="str">
        <x:f>IF(OR(B557="",$I$6&lt;&gt;"Complete"),"",I556+E557+G557-H557)</x:f>
      </x:c>
      <x:c r="J557" s="37" t="str">
        <x:f>IF(OR(B557="",$I$6&lt;&gt;"Complete"),"",'Inputs'!$C$49)</x:f>
      </x:c>
      <x:c r="K557" s="37" t="str">
        <x:f>IF(OR(B557="",$I$6&lt;&gt;"Complete"),"",I557-J557)</x:f>
      </x:c>
      <x:c r="L557" s="61" t="str">
        <x:f>IF(OR(B557="",$I$6&lt;&gt;"Complete"),"",IF(K557&lt;0,1,0))</x:f>
      </x:c>
    </x:row>
    <x:row r="558" ht="23" customHeight="1">
      <x:c r="A558" s="2"/>
      <x:c r="B558" s="60" t="str">
        <x:f>IF($D$6&lt;&gt;"Complete","",IF('Inputs'!$C$47+488&lt;=$D$9,'Inputs'!$C$47+488,""))</x:f>
      </x:c>
      <x:c r="C558" s="37" t="str">
        <x:f>IF(B558="","",SUMIFS($D$14:$D$23,$C$14:$C$23,B558))</x:f>
      </x:c>
      <x:c r="D558" s="37" t="str">
        <x:f>IF(B558="","",SUMIFS($E$14:$E$23,$C$14:$C$23,B558))</x:f>
      </x:c>
      <x:c r="E558" s="37" t="str">
        <x:f>IF(B558="","",C558-D558)</x:f>
      </x:c>
      <x:c r="F558" s="37" t="str">
        <x:f>IF(B558="","",F557+E558)</x:f>
      </x:c>
      <x:c r="G558" s="37" t="str">
        <x:f>IF(OR(B558="",$I$6&lt;&gt;"Complete"),"",SUMIFS($D$32:$D$51,$C$32:$C$51,B558,$I$32:$I$51,"Ready"))</x:f>
      </x:c>
      <x:c r="H558" s="37" t="str">
        <x:f>IF(OR(B558="",$I$6&lt;&gt;"Complete"),"",SUMIFS($E$32:$E$51,$C$32:$C$51,B558,$I$32:$I$51,"Ready"))</x:f>
      </x:c>
      <x:c r="I558" s="37" t="str">
        <x:f>IF(OR(B558="",$I$6&lt;&gt;"Complete"),"",I557+E558+G558-H558)</x:f>
      </x:c>
      <x:c r="J558" s="37" t="str">
        <x:f>IF(OR(B558="",$I$6&lt;&gt;"Complete"),"",'Inputs'!$C$49)</x:f>
      </x:c>
      <x:c r="K558" s="37" t="str">
        <x:f>IF(OR(B558="",$I$6&lt;&gt;"Complete"),"",I558-J558)</x:f>
      </x:c>
      <x:c r="L558" s="61" t="str">
        <x:f>IF(OR(B558="",$I$6&lt;&gt;"Complete"),"",IF(K558&lt;0,1,0))</x:f>
      </x:c>
    </x:row>
    <x:row r="559" ht="23" customHeight="1">
      <x:c r="A559" s="2"/>
      <x:c r="B559" s="60" t="str">
        <x:f>IF($D$6&lt;&gt;"Complete","",IF('Inputs'!$C$47+489&lt;=$D$9,'Inputs'!$C$47+489,""))</x:f>
      </x:c>
      <x:c r="C559" s="37" t="str">
        <x:f>IF(B559="","",SUMIFS($D$14:$D$23,$C$14:$C$23,B559))</x:f>
      </x:c>
      <x:c r="D559" s="37" t="str">
        <x:f>IF(B559="","",SUMIFS($E$14:$E$23,$C$14:$C$23,B559))</x:f>
      </x:c>
      <x:c r="E559" s="37" t="str">
        <x:f>IF(B559="","",C559-D559)</x:f>
      </x:c>
      <x:c r="F559" s="37" t="str">
        <x:f>IF(B559="","",F558+E559)</x:f>
      </x:c>
      <x:c r="G559" s="37" t="str">
        <x:f>IF(OR(B559="",$I$6&lt;&gt;"Complete"),"",SUMIFS($D$32:$D$51,$C$32:$C$51,B559,$I$32:$I$51,"Ready"))</x:f>
      </x:c>
      <x:c r="H559" s="37" t="str">
        <x:f>IF(OR(B559="",$I$6&lt;&gt;"Complete"),"",SUMIFS($E$32:$E$51,$C$32:$C$51,B559,$I$32:$I$51,"Ready"))</x:f>
      </x:c>
      <x:c r="I559" s="37" t="str">
        <x:f>IF(OR(B559="",$I$6&lt;&gt;"Complete"),"",I558+E559+G559-H559)</x:f>
      </x:c>
      <x:c r="J559" s="37" t="str">
        <x:f>IF(OR(B559="",$I$6&lt;&gt;"Complete"),"",'Inputs'!$C$49)</x:f>
      </x:c>
      <x:c r="K559" s="37" t="str">
        <x:f>IF(OR(B559="",$I$6&lt;&gt;"Complete"),"",I559-J559)</x:f>
      </x:c>
      <x:c r="L559" s="61" t="str">
        <x:f>IF(OR(B559="",$I$6&lt;&gt;"Complete"),"",IF(K559&lt;0,1,0))</x:f>
      </x:c>
    </x:row>
    <x:row r="560" ht="23" customHeight="1">
      <x:c r="A560" s="2"/>
      <x:c r="B560" s="60" t="str">
        <x:f>IF($D$6&lt;&gt;"Complete","",IF('Inputs'!$C$47+490&lt;=$D$9,'Inputs'!$C$47+490,""))</x:f>
      </x:c>
      <x:c r="C560" s="37" t="str">
        <x:f>IF(B560="","",SUMIFS($D$14:$D$23,$C$14:$C$23,B560))</x:f>
      </x:c>
      <x:c r="D560" s="37" t="str">
        <x:f>IF(B560="","",SUMIFS($E$14:$E$23,$C$14:$C$23,B560))</x:f>
      </x:c>
      <x:c r="E560" s="37" t="str">
        <x:f>IF(B560="","",C560-D560)</x:f>
      </x:c>
      <x:c r="F560" s="37" t="str">
        <x:f>IF(B560="","",F559+E560)</x:f>
      </x:c>
      <x:c r="G560" s="37" t="str">
        <x:f>IF(OR(B560="",$I$6&lt;&gt;"Complete"),"",SUMIFS($D$32:$D$51,$C$32:$C$51,B560,$I$32:$I$51,"Ready"))</x:f>
      </x:c>
      <x:c r="H560" s="37" t="str">
        <x:f>IF(OR(B560="",$I$6&lt;&gt;"Complete"),"",SUMIFS($E$32:$E$51,$C$32:$C$51,B560,$I$32:$I$51,"Ready"))</x:f>
      </x:c>
      <x:c r="I560" s="37" t="str">
        <x:f>IF(OR(B560="",$I$6&lt;&gt;"Complete"),"",I559+E560+G560-H560)</x:f>
      </x:c>
      <x:c r="J560" s="37" t="str">
        <x:f>IF(OR(B560="",$I$6&lt;&gt;"Complete"),"",'Inputs'!$C$49)</x:f>
      </x:c>
      <x:c r="K560" s="37" t="str">
        <x:f>IF(OR(B560="",$I$6&lt;&gt;"Complete"),"",I560-J560)</x:f>
      </x:c>
      <x:c r="L560" s="61" t="str">
        <x:f>IF(OR(B560="",$I$6&lt;&gt;"Complete"),"",IF(K560&lt;0,1,0))</x:f>
      </x:c>
    </x:row>
    <x:row r="561" ht="23" customHeight="1">
      <x:c r="A561" s="2"/>
      <x:c r="B561" s="60" t="str">
        <x:f>IF($D$6&lt;&gt;"Complete","",IF('Inputs'!$C$47+491&lt;=$D$9,'Inputs'!$C$47+491,""))</x:f>
      </x:c>
      <x:c r="C561" s="37" t="str">
        <x:f>IF(B561="","",SUMIFS($D$14:$D$23,$C$14:$C$23,B561))</x:f>
      </x:c>
      <x:c r="D561" s="37" t="str">
        <x:f>IF(B561="","",SUMIFS($E$14:$E$23,$C$14:$C$23,B561))</x:f>
      </x:c>
      <x:c r="E561" s="37" t="str">
        <x:f>IF(B561="","",C561-D561)</x:f>
      </x:c>
      <x:c r="F561" s="37" t="str">
        <x:f>IF(B561="","",F560+E561)</x:f>
      </x:c>
      <x:c r="G561" s="37" t="str">
        <x:f>IF(OR(B561="",$I$6&lt;&gt;"Complete"),"",SUMIFS($D$32:$D$51,$C$32:$C$51,B561,$I$32:$I$51,"Ready"))</x:f>
      </x:c>
      <x:c r="H561" s="37" t="str">
        <x:f>IF(OR(B561="",$I$6&lt;&gt;"Complete"),"",SUMIFS($E$32:$E$51,$C$32:$C$51,B561,$I$32:$I$51,"Ready"))</x:f>
      </x:c>
      <x:c r="I561" s="37" t="str">
        <x:f>IF(OR(B561="",$I$6&lt;&gt;"Complete"),"",I560+E561+G561-H561)</x:f>
      </x:c>
      <x:c r="J561" s="37" t="str">
        <x:f>IF(OR(B561="",$I$6&lt;&gt;"Complete"),"",'Inputs'!$C$49)</x:f>
      </x:c>
      <x:c r="K561" s="37" t="str">
        <x:f>IF(OR(B561="",$I$6&lt;&gt;"Complete"),"",I561-J561)</x:f>
      </x:c>
      <x:c r="L561" s="61" t="str">
        <x:f>IF(OR(B561="",$I$6&lt;&gt;"Complete"),"",IF(K561&lt;0,1,0))</x:f>
      </x:c>
    </x:row>
    <x:row r="562" ht="23" customHeight="1">
      <x:c r="A562" s="2"/>
      <x:c r="B562" s="60" t="str">
        <x:f>IF($D$6&lt;&gt;"Complete","",IF('Inputs'!$C$47+492&lt;=$D$9,'Inputs'!$C$47+492,""))</x:f>
      </x:c>
      <x:c r="C562" s="37" t="str">
        <x:f>IF(B562="","",SUMIFS($D$14:$D$23,$C$14:$C$23,B562))</x:f>
      </x:c>
      <x:c r="D562" s="37" t="str">
        <x:f>IF(B562="","",SUMIFS($E$14:$E$23,$C$14:$C$23,B562))</x:f>
      </x:c>
      <x:c r="E562" s="37" t="str">
        <x:f>IF(B562="","",C562-D562)</x:f>
      </x:c>
      <x:c r="F562" s="37" t="str">
        <x:f>IF(B562="","",F561+E562)</x:f>
      </x:c>
      <x:c r="G562" s="37" t="str">
        <x:f>IF(OR(B562="",$I$6&lt;&gt;"Complete"),"",SUMIFS($D$32:$D$51,$C$32:$C$51,B562,$I$32:$I$51,"Ready"))</x:f>
      </x:c>
      <x:c r="H562" s="37" t="str">
        <x:f>IF(OR(B562="",$I$6&lt;&gt;"Complete"),"",SUMIFS($E$32:$E$51,$C$32:$C$51,B562,$I$32:$I$51,"Ready"))</x:f>
      </x:c>
      <x:c r="I562" s="37" t="str">
        <x:f>IF(OR(B562="",$I$6&lt;&gt;"Complete"),"",I561+E562+G562-H562)</x:f>
      </x:c>
      <x:c r="J562" s="37" t="str">
        <x:f>IF(OR(B562="",$I$6&lt;&gt;"Complete"),"",'Inputs'!$C$49)</x:f>
      </x:c>
      <x:c r="K562" s="37" t="str">
        <x:f>IF(OR(B562="",$I$6&lt;&gt;"Complete"),"",I562-J562)</x:f>
      </x:c>
      <x:c r="L562" s="61" t="str">
        <x:f>IF(OR(B562="",$I$6&lt;&gt;"Complete"),"",IF(K562&lt;0,1,0))</x:f>
      </x:c>
    </x:row>
    <x:row r="563" ht="23" customHeight="1">
      <x:c r="A563" s="2"/>
      <x:c r="B563" s="60" t="str">
        <x:f>IF($D$6&lt;&gt;"Complete","",IF('Inputs'!$C$47+493&lt;=$D$9,'Inputs'!$C$47+493,""))</x:f>
      </x:c>
      <x:c r="C563" s="37" t="str">
        <x:f>IF(B563="","",SUMIFS($D$14:$D$23,$C$14:$C$23,B563))</x:f>
      </x:c>
      <x:c r="D563" s="37" t="str">
        <x:f>IF(B563="","",SUMIFS($E$14:$E$23,$C$14:$C$23,B563))</x:f>
      </x:c>
      <x:c r="E563" s="37" t="str">
        <x:f>IF(B563="","",C563-D563)</x:f>
      </x:c>
      <x:c r="F563" s="37" t="str">
        <x:f>IF(B563="","",F562+E563)</x:f>
      </x:c>
      <x:c r="G563" s="37" t="str">
        <x:f>IF(OR(B563="",$I$6&lt;&gt;"Complete"),"",SUMIFS($D$32:$D$51,$C$32:$C$51,B563,$I$32:$I$51,"Ready"))</x:f>
      </x:c>
      <x:c r="H563" s="37" t="str">
        <x:f>IF(OR(B563="",$I$6&lt;&gt;"Complete"),"",SUMIFS($E$32:$E$51,$C$32:$C$51,B563,$I$32:$I$51,"Ready"))</x:f>
      </x:c>
      <x:c r="I563" s="37" t="str">
        <x:f>IF(OR(B563="",$I$6&lt;&gt;"Complete"),"",I562+E563+G563-H563)</x:f>
      </x:c>
      <x:c r="J563" s="37" t="str">
        <x:f>IF(OR(B563="",$I$6&lt;&gt;"Complete"),"",'Inputs'!$C$49)</x:f>
      </x:c>
      <x:c r="K563" s="37" t="str">
        <x:f>IF(OR(B563="",$I$6&lt;&gt;"Complete"),"",I563-J563)</x:f>
      </x:c>
      <x:c r="L563" s="61" t="str">
        <x:f>IF(OR(B563="",$I$6&lt;&gt;"Complete"),"",IF(K563&lt;0,1,0))</x:f>
      </x:c>
    </x:row>
    <x:row r="564" ht="23" customHeight="1">
      <x:c r="A564" s="2"/>
      <x:c r="B564" s="60" t="str">
        <x:f>IF($D$6&lt;&gt;"Complete","",IF('Inputs'!$C$47+494&lt;=$D$9,'Inputs'!$C$47+494,""))</x:f>
      </x:c>
      <x:c r="C564" s="37" t="str">
        <x:f>IF(B564="","",SUMIFS($D$14:$D$23,$C$14:$C$23,B564))</x:f>
      </x:c>
      <x:c r="D564" s="37" t="str">
        <x:f>IF(B564="","",SUMIFS($E$14:$E$23,$C$14:$C$23,B564))</x:f>
      </x:c>
      <x:c r="E564" s="37" t="str">
        <x:f>IF(B564="","",C564-D564)</x:f>
      </x:c>
      <x:c r="F564" s="37" t="str">
        <x:f>IF(B564="","",F563+E564)</x:f>
      </x:c>
      <x:c r="G564" s="37" t="str">
        <x:f>IF(OR(B564="",$I$6&lt;&gt;"Complete"),"",SUMIFS($D$32:$D$51,$C$32:$C$51,B564,$I$32:$I$51,"Ready"))</x:f>
      </x:c>
      <x:c r="H564" s="37" t="str">
        <x:f>IF(OR(B564="",$I$6&lt;&gt;"Complete"),"",SUMIFS($E$32:$E$51,$C$32:$C$51,B564,$I$32:$I$51,"Ready"))</x:f>
      </x:c>
      <x:c r="I564" s="37" t="str">
        <x:f>IF(OR(B564="",$I$6&lt;&gt;"Complete"),"",I563+E564+G564-H564)</x:f>
      </x:c>
      <x:c r="J564" s="37" t="str">
        <x:f>IF(OR(B564="",$I$6&lt;&gt;"Complete"),"",'Inputs'!$C$49)</x:f>
      </x:c>
      <x:c r="K564" s="37" t="str">
        <x:f>IF(OR(B564="",$I$6&lt;&gt;"Complete"),"",I564-J564)</x:f>
      </x:c>
      <x:c r="L564" s="61" t="str">
        <x:f>IF(OR(B564="",$I$6&lt;&gt;"Complete"),"",IF(K564&lt;0,1,0))</x:f>
      </x:c>
    </x:row>
    <x:row r="565" ht="23" customHeight="1">
      <x:c r="A565" s="2"/>
      <x:c r="B565" s="60" t="str">
        <x:f>IF($D$6&lt;&gt;"Complete","",IF('Inputs'!$C$47+495&lt;=$D$9,'Inputs'!$C$47+495,""))</x:f>
      </x:c>
      <x:c r="C565" s="37" t="str">
        <x:f>IF(B565="","",SUMIFS($D$14:$D$23,$C$14:$C$23,B565))</x:f>
      </x:c>
      <x:c r="D565" s="37" t="str">
        <x:f>IF(B565="","",SUMIFS($E$14:$E$23,$C$14:$C$23,B565))</x:f>
      </x:c>
      <x:c r="E565" s="37" t="str">
        <x:f>IF(B565="","",C565-D565)</x:f>
      </x:c>
      <x:c r="F565" s="37" t="str">
        <x:f>IF(B565="","",F564+E565)</x:f>
      </x:c>
      <x:c r="G565" s="37" t="str">
        <x:f>IF(OR(B565="",$I$6&lt;&gt;"Complete"),"",SUMIFS($D$32:$D$51,$C$32:$C$51,B565,$I$32:$I$51,"Ready"))</x:f>
      </x:c>
      <x:c r="H565" s="37" t="str">
        <x:f>IF(OR(B565="",$I$6&lt;&gt;"Complete"),"",SUMIFS($E$32:$E$51,$C$32:$C$51,B565,$I$32:$I$51,"Ready"))</x:f>
      </x:c>
      <x:c r="I565" s="37" t="str">
        <x:f>IF(OR(B565="",$I$6&lt;&gt;"Complete"),"",I564+E565+G565-H565)</x:f>
      </x:c>
      <x:c r="J565" s="37" t="str">
        <x:f>IF(OR(B565="",$I$6&lt;&gt;"Complete"),"",'Inputs'!$C$49)</x:f>
      </x:c>
      <x:c r="K565" s="37" t="str">
        <x:f>IF(OR(B565="",$I$6&lt;&gt;"Complete"),"",I565-J565)</x:f>
      </x:c>
      <x:c r="L565" s="61" t="str">
        <x:f>IF(OR(B565="",$I$6&lt;&gt;"Complete"),"",IF(K565&lt;0,1,0))</x:f>
      </x:c>
    </x:row>
    <x:row r="566" ht="23" customHeight="1">
      <x:c r="A566" s="2"/>
      <x:c r="B566" s="60" t="str">
        <x:f>IF($D$6&lt;&gt;"Complete","",IF('Inputs'!$C$47+496&lt;=$D$9,'Inputs'!$C$47+496,""))</x:f>
      </x:c>
      <x:c r="C566" s="37" t="str">
        <x:f>IF(B566="","",SUMIFS($D$14:$D$23,$C$14:$C$23,B566))</x:f>
      </x:c>
      <x:c r="D566" s="37" t="str">
        <x:f>IF(B566="","",SUMIFS($E$14:$E$23,$C$14:$C$23,B566))</x:f>
      </x:c>
      <x:c r="E566" s="37" t="str">
        <x:f>IF(B566="","",C566-D566)</x:f>
      </x:c>
      <x:c r="F566" s="37" t="str">
        <x:f>IF(B566="","",F565+E566)</x:f>
      </x:c>
      <x:c r="G566" s="37" t="str">
        <x:f>IF(OR(B566="",$I$6&lt;&gt;"Complete"),"",SUMIFS($D$32:$D$51,$C$32:$C$51,B566,$I$32:$I$51,"Ready"))</x:f>
      </x:c>
      <x:c r="H566" s="37" t="str">
        <x:f>IF(OR(B566="",$I$6&lt;&gt;"Complete"),"",SUMIFS($E$32:$E$51,$C$32:$C$51,B566,$I$32:$I$51,"Ready"))</x:f>
      </x:c>
      <x:c r="I566" s="37" t="str">
        <x:f>IF(OR(B566="",$I$6&lt;&gt;"Complete"),"",I565+E566+G566-H566)</x:f>
      </x:c>
      <x:c r="J566" s="37" t="str">
        <x:f>IF(OR(B566="",$I$6&lt;&gt;"Complete"),"",'Inputs'!$C$49)</x:f>
      </x:c>
      <x:c r="K566" s="37" t="str">
        <x:f>IF(OR(B566="",$I$6&lt;&gt;"Complete"),"",I566-J566)</x:f>
      </x:c>
      <x:c r="L566" s="61" t="str">
        <x:f>IF(OR(B566="",$I$6&lt;&gt;"Complete"),"",IF(K566&lt;0,1,0))</x:f>
      </x:c>
    </x:row>
    <x:row r="567" ht="23" customHeight="1">
      <x:c r="A567" s="2"/>
      <x:c r="B567" s="60" t="str">
        <x:f>IF($D$6&lt;&gt;"Complete","",IF('Inputs'!$C$47+497&lt;=$D$9,'Inputs'!$C$47+497,""))</x:f>
      </x:c>
      <x:c r="C567" s="37" t="str">
        <x:f>IF(B567="","",SUMIFS($D$14:$D$23,$C$14:$C$23,B567))</x:f>
      </x:c>
      <x:c r="D567" s="37" t="str">
        <x:f>IF(B567="","",SUMIFS($E$14:$E$23,$C$14:$C$23,B567))</x:f>
      </x:c>
      <x:c r="E567" s="37" t="str">
        <x:f>IF(B567="","",C567-D567)</x:f>
      </x:c>
      <x:c r="F567" s="37" t="str">
        <x:f>IF(B567="","",F566+E567)</x:f>
      </x:c>
      <x:c r="G567" s="37" t="str">
        <x:f>IF(OR(B567="",$I$6&lt;&gt;"Complete"),"",SUMIFS($D$32:$D$51,$C$32:$C$51,B567,$I$32:$I$51,"Ready"))</x:f>
      </x:c>
      <x:c r="H567" s="37" t="str">
        <x:f>IF(OR(B567="",$I$6&lt;&gt;"Complete"),"",SUMIFS($E$32:$E$51,$C$32:$C$51,B567,$I$32:$I$51,"Ready"))</x:f>
      </x:c>
      <x:c r="I567" s="37" t="str">
        <x:f>IF(OR(B567="",$I$6&lt;&gt;"Complete"),"",I566+E567+G567-H567)</x:f>
      </x:c>
      <x:c r="J567" s="37" t="str">
        <x:f>IF(OR(B567="",$I$6&lt;&gt;"Complete"),"",'Inputs'!$C$49)</x:f>
      </x:c>
      <x:c r="K567" s="37" t="str">
        <x:f>IF(OR(B567="",$I$6&lt;&gt;"Complete"),"",I567-J567)</x:f>
      </x:c>
      <x:c r="L567" s="61" t="str">
        <x:f>IF(OR(B567="",$I$6&lt;&gt;"Complete"),"",IF(K567&lt;0,1,0))</x:f>
      </x:c>
    </x:row>
    <x:row r="568" ht="23" customHeight="1">
      <x:c r="A568" s="2"/>
      <x:c r="B568" s="60" t="str">
        <x:f>IF($D$6&lt;&gt;"Complete","",IF('Inputs'!$C$47+498&lt;=$D$9,'Inputs'!$C$47+498,""))</x:f>
      </x:c>
      <x:c r="C568" s="37" t="str">
        <x:f>IF(B568="","",SUMIFS($D$14:$D$23,$C$14:$C$23,B568))</x:f>
      </x:c>
      <x:c r="D568" s="37" t="str">
        <x:f>IF(B568="","",SUMIFS($E$14:$E$23,$C$14:$C$23,B568))</x:f>
      </x:c>
      <x:c r="E568" s="37" t="str">
        <x:f>IF(B568="","",C568-D568)</x:f>
      </x:c>
      <x:c r="F568" s="37" t="str">
        <x:f>IF(B568="","",F567+E568)</x:f>
      </x:c>
      <x:c r="G568" s="37" t="str">
        <x:f>IF(OR(B568="",$I$6&lt;&gt;"Complete"),"",SUMIFS($D$32:$D$51,$C$32:$C$51,B568,$I$32:$I$51,"Ready"))</x:f>
      </x:c>
      <x:c r="H568" s="37" t="str">
        <x:f>IF(OR(B568="",$I$6&lt;&gt;"Complete"),"",SUMIFS($E$32:$E$51,$C$32:$C$51,B568,$I$32:$I$51,"Ready"))</x:f>
      </x:c>
      <x:c r="I568" s="37" t="str">
        <x:f>IF(OR(B568="",$I$6&lt;&gt;"Complete"),"",I567+E568+G568-H568)</x:f>
      </x:c>
      <x:c r="J568" s="37" t="str">
        <x:f>IF(OR(B568="",$I$6&lt;&gt;"Complete"),"",'Inputs'!$C$49)</x:f>
      </x:c>
      <x:c r="K568" s="37" t="str">
        <x:f>IF(OR(B568="",$I$6&lt;&gt;"Complete"),"",I568-J568)</x:f>
      </x:c>
      <x:c r="L568" s="61" t="str">
        <x:f>IF(OR(B568="",$I$6&lt;&gt;"Complete"),"",IF(K568&lt;0,1,0))</x:f>
      </x:c>
    </x:row>
    <x:row r="569" ht="23" customHeight="1">
      <x:c r="A569" s="2"/>
      <x:c r="B569" s="60" t="str">
        <x:f>IF($D$6&lt;&gt;"Complete","",IF('Inputs'!$C$47+499&lt;=$D$9,'Inputs'!$C$47+499,""))</x:f>
      </x:c>
      <x:c r="C569" s="37" t="str">
        <x:f>IF(B569="","",SUMIFS($D$14:$D$23,$C$14:$C$23,B569))</x:f>
      </x:c>
      <x:c r="D569" s="37" t="str">
        <x:f>IF(B569="","",SUMIFS($E$14:$E$23,$C$14:$C$23,B569))</x:f>
      </x:c>
      <x:c r="E569" s="37" t="str">
        <x:f>IF(B569="","",C569-D569)</x:f>
      </x:c>
      <x:c r="F569" s="37" t="str">
        <x:f>IF(B569="","",F568+E569)</x:f>
      </x:c>
      <x:c r="G569" s="37" t="str">
        <x:f>IF(OR(B569="",$I$6&lt;&gt;"Complete"),"",SUMIFS($D$32:$D$51,$C$32:$C$51,B569,$I$32:$I$51,"Ready"))</x:f>
      </x:c>
      <x:c r="H569" s="37" t="str">
        <x:f>IF(OR(B569="",$I$6&lt;&gt;"Complete"),"",SUMIFS($E$32:$E$51,$C$32:$C$51,B569,$I$32:$I$51,"Ready"))</x:f>
      </x:c>
      <x:c r="I569" s="37" t="str">
        <x:f>IF(OR(B569="",$I$6&lt;&gt;"Complete"),"",I568+E569+G569-H569)</x:f>
      </x:c>
      <x:c r="J569" s="37" t="str">
        <x:f>IF(OR(B569="",$I$6&lt;&gt;"Complete"),"",'Inputs'!$C$49)</x:f>
      </x:c>
      <x:c r="K569" s="37" t="str">
        <x:f>IF(OR(B569="",$I$6&lt;&gt;"Complete"),"",I569-J569)</x:f>
      </x:c>
      <x:c r="L569" s="61" t="str">
        <x:f>IF(OR(B569="",$I$6&lt;&gt;"Complete"),"",IF(K569&lt;0,1,0))</x:f>
      </x:c>
    </x:row>
    <x:row r="570" ht="23" customHeight="1">
      <x:c r="A570" s="2"/>
      <x:c r="B570" s="60" t="str">
        <x:f>IF($D$6&lt;&gt;"Complete","",IF('Inputs'!$C$47+500&lt;=$D$9,'Inputs'!$C$47+500,""))</x:f>
      </x:c>
      <x:c r="C570" s="37" t="str">
        <x:f>IF(B570="","",SUMIFS($D$14:$D$23,$C$14:$C$23,B570))</x:f>
      </x:c>
      <x:c r="D570" s="37" t="str">
        <x:f>IF(B570="","",SUMIFS($E$14:$E$23,$C$14:$C$23,B570))</x:f>
      </x:c>
      <x:c r="E570" s="37" t="str">
        <x:f>IF(B570="","",C570-D570)</x:f>
      </x:c>
      <x:c r="F570" s="37" t="str">
        <x:f>IF(B570="","",F569+E570)</x:f>
      </x:c>
      <x:c r="G570" s="37" t="str">
        <x:f>IF(OR(B570="",$I$6&lt;&gt;"Complete"),"",SUMIFS($D$32:$D$51,$C$32:$C$51,B570,$I$32:$I$51,"Ready"))</x:f>
      </x:c>
      <x:c r="H570" s="37" t="str">
        <x:f>IF(OR(B570="",$I$6&lt;&gt;"Complete"),"",SUMIFS($E$32:$E$51,$C$32:$C$51,B570,$I$32:$I$51,"Ready"))</x:f>
      </x:c>
      <x:c r="I570" s="37" t="str">
        <x:f>IF(OR(B570="",$I$6&lt;&gt;"Complete"),"",I569+E570+G570-H570)</x:f>
      </x:c>
      <x:c r="J570" s="37" t="str">
        <x:f>IF(OR(B570="",$I$6&lt;&gt;"Complete"),"",'Inputs'!$C$49)</x:f>
      </x:c>
      <x:c r="K570" s="37" t="str">
        <x:f>IF(OR(B570="",$I$6&lt;&gt;"Complete"),"",I570-J570)</x:f>
      </x:c>
      <x:c r="L570" s="61" t="str">
        <x:f>IF(OR(B570="",$I$6&lt;&gt;"Complete"),"",IF(K570&lt;0,1,0))</x:f>
      </x:c>
    </x:row>
    <x:row r="571" ht="23" customHeight="1">
      <x:c r="A571" s="2"/>
      <x:c r="B571" s="60" t="str">
        <x:f>IF($D$6&lt;&gt;"Complete","",IF('Inputs'!$C$47+501&lt;=$D$9,'Inputs'!$C$47+501,""))</x:f>
      </x:c>
      <x:c r="C571" s="37" t="str">
        <x:f>IF(B571="","",SUMIFS($D$14:$D$23,$C$14:$C$23,B571))</x:f>
      </x:c>
      <x:c r="D571" s="37" t="str">
        <x:f>IF(B571="","",SUMIFS($E$14:$E$23,$C$14:$C$23,B571))</x:f>
      </x:c>
      <x:c r="E571" s="37" t="str">
        <x:f>IF(B571="","",C571-D571)</x:f>
      </x:c>
      <x:c r="F571" s="37" t="str">
        <x:f>IF(B571="","",F570+E571)</x:f>
      </x:c>
      <x:c r="G571" s="37" t="str">
        <x:f>IF(OR(B571="",$I$6&lt;&gt;"Complete"),"",SUMIFS($D$32:$D$51,$C$32:$C$51,B571,$I$32:$I$51,"Ready"))</x:f>
      </x:c>
      <x:c r="H571" s="37" t="str">
        <x:f>IF(OR(B571="",$I$6&lt;&gt;"Complete"),"",SUMIFS($E$32:$E$51,$C$32:$C$51,B571,$I$32:$I$51,"Ready"))</x:f>
      </x:c>
      <x:c r="I571" s="37" t="str">
        <x:f>IF(OR(B571="",$I$6&lt;&gt;"Complete"),"",I570+E571+G571-H571)</x:f>
      </x:c>
      <x:c r="J571" s="37" t="str">
        <x:f>IF(OR(B571="",$I$6&lt;&gt;"Complete"),"",'Inputs'!$C$49)</x:f>
      </x:c>
      <x:c r="K571" s="37" t="str">
        <x:f>IF(OR(B571="",$I$6&lt;&gt;"Complete"),"",I571-J571)</x:f>
      </x:c>
      <x:c r="L571" s="61" t="str">
        <x:f>IF(OR(B571="",$I$6&lt;&gt;"Complete"),"",IF(K571&lt;0,1,0))</x:f>
      </x:c>
    </x:row>
    <x:row r="572" ht="23" customHeight="1">
      <x:c r="A572" s="2"/>
      <x:c r="B572" s="60" t="str">
        <x:f>IF($D$6&lt;&gt;"Complete","",IF('Inputs'!$C$47+502&lt;=$D$9,'Inputs'!$C$47+502,""))</x:f>
      </x:c>
      <x:c r="C572" s="37" t="str">
        <x:f>IF(B572="","",SUMIFS($D$14:$D$23,$C$14:$C$23,B572))</x:f>
      </x:c>
      <x:c r="D572" s="37" t="str">
        <x:f>IF(B572="","",SUMIFS($E$14:$E$23,$C$14:$C$23,B572))</x:f>
      </x:c>
      <x:c r="E572" s="37" t="str">
        <x:f>IF(B572="","",C572-D572)</x:f>
      </x:c>
      <x:c r="F572" s="37" t="str">
        <x:f>IF(B572="","",F571+E572)</x:f>
      </x:c>
      <x:c r="G572" s="37" t="str">
        <x:f>IF(OR(B572="",$I$6&lt;&gt;"Complete"),"",SUMIFS($D$32:$D$51,$C$32:$C$51,B572,$I$32:$I$51,"Ready"))</x:f>
      </x:c>
      <x:c r="H572" s="37" t="str">
        <x:f>IF(OR(B572="",$I$6&lt;&gt;"Complete"),"",SUMIFS($E$32:$E$51,$C$32:$C$51,B572,$I$32:$I$51,"Ready"))</x:f>
      </x:c>
      <x:c r="I572" s="37" t="str">
        <x:f>IF(OR(B572="",$I$6&lt;&gt;"Complete"),"",I571+E572+G572-H572)</x:f>
      </x:c>
      <x:c r="J572" s="37" t="str">
        <x:f>IF(OR(B572="",$I$6&lt;&gt;"Complete"),"",'Inputs'!$C$49)</x:f>
      </x:c>
      <x:c r="K572" s="37" t="str">
        <x:f>IF(OR(B572="",$I$6&lt;&gt;"Complete"),"",I572-J572)</x:f>
      </x:c>
      <x:c r="L572" s="61" t="str">
        <x:f>IF(OR(B572="",$I$6&lt;&gt;"Complete"),"",IF(K572&lt;0,1,0))</x:f>
      </x:c>
    </x:row>
    <x:row r="573" ht="23" customHeight="1">
      <x:c r="A573" s="2"/>
      <x:c r="B573" s="60" t="str">
        <x:f>IF($D$6&lt;&gt;"Complete","",IF('Inputs'!$C$47+503&lt;=$D$9,'Inputs'!$C$47+503,""))</x:f>
      </x:c>
      <x:c r="C573" s="37" t="str">
        <x:f>IF(B573="","",SUMIFS($D$14:$D$23,$C$14:$C$23,B573))</x:f>
      </x:c>
      <x:c r="D573" s="37" t="str">
        <x:f>IF(B573="","",SUMIFS($E$14:$E$23,$C$14:$C$23,B573))</x:f>
      </x:c>
      <x:c r="E573" s="37" t="str">
        <x:f>IF(B573="","",C573-D573)</x:f>
      </x:c>
      <x:c r="F573" s="37" t="str">
        <x:f>IF(B573="","",F572+E573)</x:f>
      </x:c>
      <x:c r="G573" s="37" t="str">
        <x:f>IF(OR(B573="",$I$6&lt;&gt;"Complete"),"",SUMIFS($D$32:$D$51,$C$32:$C$51,B573,$I$32:$I$51,"Ready"))</x:f>
      </x:c>
      <x:c r="H573" s="37" t="str">
        <x:f>IF(OR(B573="",$I$6&lt;&gt;"Complete"),"",SUMIFS($E$32:$E$51,$C$32:$C$51,B573,$I$32:$I$51,"Ready"))</x:f>
      </x:c>
      <x:c r="I573" s="37" t="str">
        <x:f>IF(OR(B573="",$I$6&lt;&gt;"Complete"),"",I572+E573+G573-H573)</x:f>
      </x:c>
      <x:c r="J573" s="37" t="str">
        <x:f>IF(OR(B573="",$I$6&lt;&gt;"Complete"),"",'Inputs'!$C$49)</x:f>
      </x:c>
      <x:c r="K573" s="37" t="str">
        <x:f>IF(OR(B573="",$I$6&lt;&gt;"Complete"),"",I573-J573)</x:f>
      </x:c>
      <x:c r="L573" s="61" t="str">
        <x:f>IF(OR(B573="",$I$6&lt;&gt;"Complete"),"",IF(K573&lt;0,1,0))</x:f>
      </x:c>
    </x:row>
    <x:row r="574" ht="23" customHeight="1">
      <x:c r="A574" s="2"/>
      <x:c r="B574" s="60" t="str">
        <x:f>IF($D$6&lt;&gt;"Complete","",IF('Inputs'!$C$47+504&lt;=$D$9,'Inputs'!$C$47+504,""))</x:f>
      </x:c>
      <x:c r="C574" s="37" t="str">
        <x:f>IF(B574="","",SUMIFS($D$14:$D$23,$C$14:$C$23,B574))</x:f>
      </x:c>
      <x:c r="D574" s="37" t="str">
        <x:f>IF(B574="","",SUMIFS($E$14:$E$23,$C$14:$C$23,B574))</x:f>
      </x:c>
      <x:c r="E574" s="37" t="str">
        <x:f>IF(B574="","",C574-D574)</x:f>
      </x:c>
      <x:c r="F574" s="37" t="str">
        <x:f>IF(B574="","",F573+E574)</x:f>
      </x:c>
      <x:c r="G574" s="37" t="str">
        <x:f>IF(OR(B574="",$I$6&lt;&gt;"Complete"),"",SUMIFS($D$32:$D$51,$C$32:$C$51,B574,$I$32:$I$51,"Ready"))</x:f>
      </x:c>
      <x:c r="H574" s="37" t="str">
        <x:f>IF(OR(B574="",$I$6&lt;&gt;"Complete"),"",SUMIFS($E$32:$E$51,$C$32:$C$51,B574,$I$32:$I$51,"Ready"))</x:f>
      </x:c>
      <x:c r="I574" s="37" t="str">
        <x:f>IF(OR(B574="",$I$6&lt;&gt;"Complete"),"",I573+E574+G574-H574)</x:f>
      </x:c>
      <x:c r="J574" s="37" t="str">
        <x:f>IF(OR(B574="",$I$6&lt;&gt;"Complete"),"",'Inputs'!$C$49)</x:f>
      </x:c>
      <x:c r="K574" s="37" t="str">
        <x:f>IF(OR(B574="",$I$6&lt;&gt;"Complete"),"",I574-J574)</x:f>
      </x:c>
      <x:c r="L574" s="61" t="str">
        <x:f>IF(OR(B574="",$I$6&lt;&gt;"Complete"),"",IF(K574&lt;0,1,0))</x:f>
      </x:c>
    </x:row>
    <x:row r="575" ht="23" customHeight="1">
      <x:c r="A575" s="2"/>
      <x:c r="B575" s="60" t="str">
        <x:f>IF($D$6&lt;&gt;"Complete","",IF('Inputs'!$C$47+505&lt;=$D$9,'Inputs'!$C$47+505,""))</x:f>
      </x:c>
      <x:c r="C575" s="37" t="str">
        <x:f>IF(B575="","",SUMIFS($D$14:$D$23,$C$14:$C$23,B575))</x:f>
      </x:c>
      <x:c r="D575" s="37" t="str">
        <x:f>IF(B575="","",SUMIFS($E$14:$E$23,$C$14:$C$23,B575))</x:f>
      </x:c>
      <x:c r="E575" s="37" t="str">
        <x:f>IF(B575="","",C575-D575)</x:f>
      </x:c>
      <x:c r="F575" s="37" t="str">
        <x:f>IF(B575="","",F574+E575)</x:f>
      </x:c>
      <x:c r="G575" s="37" t="str">
        <x:f>IF(OR(B575="",$I$6&lt;&gt;"Complete"),"",SUMIFS($D$32:$D$51,$C$32:$C$51,B575,$I$32:$I$51,"Ready"))</x:f>
      </x:c>
      <x:c r="H575" s="37" t="str">
        <x:f>IF(OR(B575="",$I$6&lt;&gt;"Complete"),"",SUMIFS($E$32:$E$51,$C$32:$C$51,B575,$I$32:$I$51,"Ready"))</x:f>
      </x:c>
      <x:c r="I575" s="37" t="str">
        <x:f>IF(OR(B575="",$I$6&lt;&gt;"Complete"),"",I574+E575+G575-H575)</x:f>
      </x:c>
      <x:c r="J575" s="37" t="str">
        <x:f>IF(OR(B575="",$I$6&lt;&gt;"Complete"),"",'Inputs'!$C$49)</x:f>
      </x:c>
      <x:c r="K575" s="37" t="str">
        <x:f>IF(OR(B575="",$I$6&lt;&gt;"Complete"),"",I575-J575)</x:f>
      </x:c>
      <x:c r="L575" s="61" t="str">
        <x:f>IF(OR(B575="",$I$6&lt;&gt;"Complete"),"",IF(K575&lt;0,1,0))</x:f>
      </x:c>
    </x:row>
    <x:row r="576" ht="23" customHeight="1">
      <x:c r="A576" s="2"/>
      <x:c r="B576" s="60" t="str">
        <x:f>IF($D$6&lt;&gt;"Complete","",IF('Inputs'!$C$47+506&lt;=$D$9,'Inputs'!$C$47+506,""))</x:f>
      </x:c>
      <x:c r="C576" s="37" t="str">
        <x:f>IF(B576="","",SUMIFS($D$14:$D$23,$C$14:$C$23,B576))</x:f>
      </x:c>
      <x:c r="D576" s="37" t="str">
        <x:f>IF(B576="","",SUMIFS($E$14:$E$23,$C$14:$C$23,B576))</x:f>
      </x:c>
      <x:c r="E576" s="37" t="str">
        <x:f>IF(B576="","",C576-D576)</x:f>
      </x:c>
      <x:c r="F576" s="37" t="str">
        <x:f>IF(B576="","",F575+E576)</x:f>
      </x:c>
      <x:c r="G576" s="37" t="str">
        <x:f>IF(OR(B576="",$I$6&lt;&gt;"Complete"),"",SUMIFS($D$32:$D$51,$C$32:$C$51,B576,$I$32:$I$51,"Ready"))</x:f>
      </x:c>
      <x:c r="H576" s="37" t="str">
        <x:f>IF(OR(B576="",$I$6&lt;&gt;"Complete"),"",SUMIFS($E$32:$E$51,$C$32:$C$51,B576,$I$32:$I$51,"Ready"))</x:f>
      </x:c>
      <x:c r="I576" s="37" t="str">
        <x:f>IF(OR(B576="",$I$6&lt;&gt;"Complete"),"",I575+E576+G576-H576)</x:f>
      </x:c>
      <x:c r="J576" s="37" t="str">
        <x:f>IF(OR(B576="",$I$6&lt;&gt;"Complete"),"",'Inputs'!$C$49)</x:f>
      </x:c>
      <x:c r="K576" s="37" t="str">
        <x:f>IF(OR(B576="",$I$6&lt;&gt;"Complete"),"",I576-J576)</x:f>
      </x:c>
      <x:c r="L576" s="61" t="str">
        <x:f>IF(OR(B576="",$I$6&lt;&gt;"Complete"),"",IF(K576&lt;0,1,0))</x:f>
      </x:c>
    </x:row>
    <x:row r="577" ht="23" customHeight="1">
      <x:c r="A577" s="2"/>
      <x:c r="B577" s="60" t="str">
        <x:f>IF($D$6&lt;&gt;"Complete","",IF('Inputs'!$C$47+507&lt;=$D$9,'Inputs'!$C$47+507,""))</x:f>
      </x:c>
      <x:c r="C577" s="37" t="str">
        <x:f>IF(B577="","",SUMIFS($D$14:$D$23,$C$14:$C$23,B577))</x:f>
      </x:c>
      <x:c r="D577" s="37" t="str">
        <x:f>IF(B577="","",SUMIFS($E$14:$E$23,$C$14:$C$23,B577))</x:f>
      </x:c>
      <x:c r="E577" s="37" t="str">
        <x:f>IF(B577="","",C577-D577)</x:f>
      </x:c>
      <x:c r="F577" s="37" t="str">
        <x:f>IF(B577="","",F576+E577)</x:f>
      </x:c>
      <x:c r="G577" s="37" t="str">
        <x:f>IF(OR(B577="",$I$6&lt;&gt;"Complete"),"",SUMIFS($D$32:$D$51,$C$32:$C$51,B577,$I$32:$I$51,"Ready"))</x:f>
      </x:c>
      <x:c r="H577" s="37" t="str">
        <x:f>IF(OR(B577="",$I$6&lt;&gt;"Complete"),"",SUMIFS($E$32:$E$51,$C$32:$C$51,B577,$I$32:$I$51,"Ready"))</x:f>
      </x:c>
      <x:c r="I577" s="37" t="str">
        <x:f>IF(OR(B577="",$I$6&lt;&gt;"Complete"),"",I576+E577+G577-H577)</x:f>
      </x:c>
      <x:c r="J577" s="37" t="str">
        <x:f>IF(OR(B577="",$I$6&lt;&gt;"Complete"),"",'Inputs'!$C$49)</x:f>
      </x:c>
      <x:c r="K577" s="37" t="str">
        <x:f>IF(OR(B577="",$I$6&lt;&gt;"Complete"),"",I577-J577)</x:f>
      </x:c>
      <x:c r="L577" s="61" t="str">
        <x:f>IF(OR(B577="",$I$6&lt;&gt;"Complete"),"",IF(K577&lt;0,1,0))</x:f>
      </x:c>
    </x:row>
    <x:row r="578" ht="23" customHeight="1">
      <x:c r="A578" s="2"/>
      <x:c r="B578" s="60" t="str">
        <x:f>IF($D$6&lt;&gt;"Complete","",IF('Inputs'!$C$47+508&lt;=$D$9,'Inputs'!$C$47+508,""))</x:f>
      </x:c>
      <x:c r="C578" s="37" t="str">
        <x:f>IF(B578="","",SUMIFS($D$14:$D$23,$C$14:$C$23,B578))</x:f>
      </x:c>
      <x:c r="D578" s="37" t="str">
        <x:f>IF(B578="","",SUMIFS($E$14:$E$23,$C$14:$C$23,B578))</x:f>
      </x:c>
      <x:c r="E578" s="37" t="str">
        <x:f>IF(B578="","",C578-D578)</x:f>
      </x:c>
      <x:c r="F578" s="37" t="str">
        <x:f>IF(B578="","",F577+E578)</x:f>
      </x:c>
      <x:c r="G578" s="37" t="str">
        <x:f>IF(OR(B578="",$I$6&lt;&gt;"Complete"),"",SUMIFS($D$32:$D$51,$C$32:$C$51,B578,$I$32:$I$51,"Ready"))</x:f>
      </x:c>
      <x:c r="H578" s="37" t="str">
        <x:f>IF(OR(B578="",$I$6&lt;&gt;"Complete"),"",SUMIFS($E$32:$E$51,$C$32:$C$51,B578,$I$32:$I$51,"Ready"))</x:f>
      </x:c>
      <x:c r="I578" s="37" t="str">
        <x:f>IF(OR(B578="",$I$6&lt;&gt;"Complete"),"",I577+E578+G578-H578)</x:f>
      </x:c>
      <x:c r="J578" s="37" t="str">
        <x:f>IF(OR(B578="",$I$6&lt;&gt;"Complete"),"",'Inputs'!$C$49)</x:f>
      </x:c>
      <x:c r="K578" s="37" t="str">
        <x:f>IF(OR(B578="",$I$6&lt;&gt;"Complete"),"",I578-J578)</x:f>
      </x:c>
      <x:c r="L578" s="61" t="str">
        <x:f>IF(OR(B578="",$I$6&lt;&gt;"Complete"),"",IF(K578&lt;0,1,0))</x:f>
      </x:c>
    </x:row>
    <x:row r="579" ht="23" customHeight="1">
      <x:c r="A579" s="2"/>
      <x:c r="B579" s="60" t="str">
        <x:f>IF($D$6&lt;&gt;"Complete","",IF('Inputs'!$C$47+509&lt;=$D$9,'Inputs'!$C$47+509,""))</x:f>
      </x:c>
      <x:c r="C579" s="37" t="str">
        <x:f>IF(B579="","",SUMIFS($D$14:$D$23,$C$14:$C$23,B579))</x:f>
      </x:c>
      <x:c r="D579" s="37" t="str">
        <x:f>IF(B579="","",SUMIFS($E$14:$E$23,$C$14:$C$23,B579))</x:f>
      </x:c>
      <x:c r="E579" s="37" t="str">
        <x:f>IF(B579="","",C579-D579)</x:f>
      </x:c>
      <x:c r="F579" s="37" t="str">
        <x:f>IF(B579="","",F578+E579)</x:f>
      </x:c>
      <x:c r="G579" s="37" t="str">
        <x:f>IF(OR(B579="",$I$6&lt;&gt;"Complete"),"",SUMIFS($D$32:$D$51,$C$32:$C$51,B579,$I$32:$I$51,"Ready"))</x:f>
      </x:c>
      <x:c r="H579" s="37" t="str">
        <x:f>IF(OR(B579="",$I$6&lt;&gt;"Complete"),"",SUMIFS($E$32:$E$51,$C$32:$C$51,B579,$I$32:$I$51,"Ready"))</x:f>
      </x:c>
      <x:c r="I579" s="37" t="str">
        <x:f>IF(OR(B579="",$I$6&lt;&gt;"Complete"),"",I578+E579+G579-H579)</x:f>
      </x:c>
      <x:c r="J579" s="37" t="str">
        <x:f>IF(OR(B579="",$I$6&lt;&gt;"Complete"),"",'Inputs'!$C$49)</x:f>
      </x:c>
      <x:c r="K579" s="37" t="str">
        <x:f>IF(OR(B579="",$I$6&lt;&gt;"Complete"),"",I579-J579)</x:f>
      </x:c>
      <x:c r="L579" s="61" t="str">
        <x:f>IF(OR(B579="",$I$6&lt;&gt;"Complete"),"",IF(K579&lt;0,1,0))</x:f>
      </x:c>
    </x:row>
    <x:row r="580" ht="23" customHeight="1">
      <x:c r="A580" s="2"/>
      <x:c r="B580" s="60" t="str">
        <x:f>IF($D$6&lt;&gt;"Complete","",IF('Inputs'!$C$47+510&lt;=$D$9,'Inputs'!$C$47+510,""))</x:f>
      </x:c>
      <x:c r="C580" s="37" t="str">
        <x:f>IF(B580="","",SUMIFS($D$14:$D$23,$C$14:$C$23,B580))</x:f>
      </x:c>
      <x:c r="D580" s="37" t="str">
        <x:f>IF(B580="","",SUMIFS($E$14:$E$23,$C$14:$C$23,B580))</x:f>
      </x:c>
      <x:c r="E580" s="37" t="str">
        <x:f>IF(B580="","",C580-D580)</x:f>
      </x:c>
      <x:c r="F580" s="37" t="str">
        <x:f>IF(B580="","",F579+E580)</x:f>
      </x:c>
      <x:c r="G580" s="37" t="str">
        <x:f>IF(OR(B580="",$I$6&lt;&gt;"Complete"),"",SUMIFS($D$32:$D$51,$C$32:$C$51,B580,$I$32:$I$51,"Ready"))</x:f>
      </x:c>
      <x:c r="H580" s="37" t="str">
        <x:f>IF(OR(B580="",$I$6&lt;&gt;"Complete"),"",SUMIFS($E$32:$E$51,$C$32:$C$51,B580,$I$32:$I$51,"Ready"))</x:f>
      </x:c>
      <x:c r="I580" s="37" t="str">
        <x:f>IF(OR(B580="",$I$6&lt;&gt;"Complete"),"",I579+E580+G580-H580)</x:f>
      </x:c>
      <x:c r="J580" s="37" t="str">
        <x:f>IF(OR(B580="",$I$6&lt;&gt;"Complete"),"",'Inputs'!$C$49)</x:f>
      </x:c>
      <x:c r="K580" s="37" t="str">
        <x:f>IF(OR(B580="",$I$6&lt;&gt;"Complete"),"",I580-J580)</x:f>
      </x:c>
      <x:c r="L580" s="61" t="str">
        <x:f>IF(OR(B580="",$I$6&lt;&gt;"Complete"),"",IF(K580&lt;0,1,0))</x:f>
      </x:c>
    </x:row>
    <x:row r="581" ht="23" customHeight="1">
      <x:c r="A581" s="2"/>
      <x:c r="B581" s="60" t="str">
        <x:f>IF($D$6&lt;&gt;"Complete","",IF('Inputs'!$C$47+511&lt;=$D$9,'Inputs'!$C$47+511,""))</x:f>
      </x:c>
      <x:c r="C581" s="37" t="str">
        <x:f>IF(B581="","",SUMIFS($D$14:$D$23,$C$14:$C$23,B581))</x:f>
      </x:c>
      <x:c r="D581" s="37" t="str">
        <x:f>IF(B581="","",SUMIFS($E$14:$E$23,$C$14:$C$23,B581))</x:f>
      </x:c>
      <x:c r="E581" s="37" t="str">
        <x:f>IF(B581="","",C581-D581)</x:f>
      </x:c>
      <x:c r="F581" s="37" t="str">
        <x:f>IF(B581="","",F580+E581)</x:f>
      </x:c>
      <x:c r="G581" s="37" t="str">
        <x:f>IF(OR(B581="",$I$6&lt;&gt;"Complete"),"",SUMIFS($D$32:$D$51,$C$32:$C$51,B581,$I$32:$I$51,"Ready"))</x:f>
      </x:c>
      <x:c r="H581" s="37" t="str">
        <x:f>IF(OR(B581="",$I$6&lt;&gt;"Complete"),"",SUMIFS($E$32:$E$51,$C$32:$C$51,B581,$I$32:$I$51,"Ready"))</x:f>
      </x:c>
      <x:c r="I581" s="37" t="str">
        <x:f>IF(OR(B581="",$I$6&lt;&gt;"Complete"),"",I580+E581+G581-H581)</x:f>
      </x:c>
      <x:c r="J581" s="37" t="str">
        <x:f>IF(OR(B581="",$I$6&lt;&gt;"Complete"),"",'Inputs'!$C$49)</x:f>
      </x:c>
      <x:c r="K581" s="37" t="str">
        <x:f>IF(OR(B581="",$I$6&lt;&gt;"Complete"),"",I581-J581)</x:f>
      </x:c>
      <x:c r="L581" s="61" t="str">
        <x:f>IF(OR(B581="",$I$6&lt;&gt;"Complete"),"",IF(K581&lt;0,1,0))</x:f>
      </x:c>
    </x:row>
    <x:row r="582" ht="23" customHeight="1">
      <x:c r="A582" s="2"/>
      <x:c r="B582" s="60" t="str">
        <x:f>IF($D$6&lt;&gt;"Complete","",IF('Inputs'!$C$47+512&lt;=$D$9,'Inputs'!$C$47+512,""))</x:f>
      </x:c>
      <x:c r="C582" s="37" t="str">
        <x:f>IF(B582="","",SUMIFS($D$14:$D$23,$C$14:$C$23,B582))</x:f>
      </x:c>
      <x:c r="D582" s="37" t="str">
        <x:f>IF(B582="","",SUMIFS($E$14:$E$23,$C$14:$C$23,B582))</x:f>
      </x:c>
      <x:c r="E582" s="37" t="str">
        <x:f>IF(B582="","",C582-D582)</x:f>
      </x:c>
      <x:c r="F582" s="37" t="str">
        <x:f>IF(B582="","",F581+E582)</x:f>
      </x:c>
      <x:c r="G582" s="37" t="str">
        <x:f>IF(OR(B582="",$I$6&lt;&gt;"Complete"),"",SUMIFS($D$32:$D$51,$C$32:$C$51,B582,$I$32:$I$51,"Ready"))</x:f>
      </x:c>
      <x:c r="H582" s="37" t="str">
        <x:f>IF(OR(B582="",$I$6&lt;&gt;"Complete"),"",SUMIFS($E$32:$E$51,$C$32:$C$51,B582,$I$32:$I$51,"Ready"))</x:f>
      </x:c>
      <x:c r="I582" s="37" t="str">
        <x:f>IF(OR(B582="",$I$6&lt;&gt;"Complete"),"",I581+E582+G582-H582)</x:f>
      </x:c>
      <x:c r="J582" s="37" t="str">
        <x:f>IF(OR(B582="",$I$6&lt;&gt;"Complete"),"",'Inputs'!$C$49)</x:f>
      </x:c>
      <x:c r="K582" s="37" t="str">
        <x:f>IF(OR(B582="",$I$6&lt;&gt;"Complete"),"",I582-J582)</x:f>
      </x:c>
      <x:c r="L582" s="61" t="str">
        <x:f>IF(OR(B582="",$I$6&lt;&gt;"Complete"),"",IF(K582&lt;0,1,0))</x:f>
      </x:c>
    </x:row>
    <x:row r="583" ht="23" customHeight="1">
      <x:c r="A583" s="2"/>
      <x:c r="B583" s="60" t="str">
        <x:f>IF($D$6&lt;&gt;"Complete","",IF('Inputs'!$C$47+513&lt;=$D$9,'Inputs'!$C$47+513,""))</x:f>
      </x:c>
      <x:c r="C583" s="37" t="str">
        <x:f>IF(B583="","",SUMIFS($D$14:$D$23,$C$14:$C$23,B583))</x:f>
      </x:c>
      <x:c r="D583" s="37" t="str">
        <x:f>IF(B583="","",SUMIFS($E$14:$E$23,$C$14:$C$23,B583))</x:f>
      </x:c>
      <x:c r="E583" s="37" t="str">
        <x:f>IF(B583="","",C583-D583)</x:f>
      </x:c>
      <x:c r="F583" s="37" t="str">
        <x:f>IF(B583="","",F582+E583)</x:f>
      </x:c>
      <x:c r="G583" s="37" t="str">
        <x:f>IF(OR(B583="",$I$6&lt;&gt;"Complete"),"",SUMIFS($D$32:$D$51,$C$32:$C$51,B583,$I$32:$I$51,"Ready"))</x:f>
      </x:c>
      <x:c r="H583" s="37" t="str">
        <x:f>IF(OR(B583="",$I$6&lt;&gt;"Complete"),"",SUMIFS($E$32:$E$51,$C$32:$C$51,B583,$I$32:$I$51,"Ready"))</x:f>
      </x:c>
      <x:c r="I583" s="37" t="str">
        <x:f>IF(OR(B583="",$I$6&lt;&gt;"Complete"),"",I582+E583+G583-H583)</x:f>
      </x:c>
      <x:c r="J583" s="37" t="str">
        <x:f>IF(OR(B583="",$I$6&lt;&gt;"Complete"),"",'Inputs'!$C$49)</x:f>
      </x:c>
      <x:c r="K583" s="37" t="str">
        <x:f>IF(OR(B583="",$I$6&lt;&gt;"Complete"),"",I583-J583)</x:f>
      </x:c>
      <x:c r="L583" s="61" t="str">
        <x:f>IF(OR(B583="",$I$6&lt;&gt;"Complete"),"",IF(K583&lt;0,1,0))</x:f>
      </x:c>
    </x:row>
    <x:row r="584" ht="23" customHeight="1">
      <x:c r="A584" s="2"/>
      <x:c r="B584" s="60" t="str">
        <x:f>IF($D$6&lt;&gt;"Complete","",IF('Inputs'!$C$47+514&lt;=$D$9,'Inputs'!$C$47+514,""))</x:f>
      </x:c>
      <x:c r="C584" s="37" t="str">
        <x:f>IF(B584="","",SUMIFS($D$14:$D$23,$C$14:$C$23,B584))</x:f>
      </x:c>
      <x:c r="D584" s="37" t="str">
        <x:f>IF(B584="","",SUMIFS($E$14:$E$23,$C$14:$C$23,B584))</x:f>
      </x:c>
      <x:c r="E584" s="37" t="str">
        <x:f>IF(B584="","",C584-D584)</x:f>
      </x:c>
      <x:c r="F584" s="37" t="str">
        <x:f>IF(B584="","",F583+E584)</x:f>
      </x:c>
      <x:c r="G584" s="37" t="str">
        <x:f>IF(OR(B584="",$I$6&lt;&gt;"Complete"),"",SUMIFS($D$32:$D$51,$C$32:$C$51,B584,$I$32:$I$51,"Ready"))</x:f>
      </x:c>
      <x:c r="H584" s="37" t="str">
        <x:f>IF(OR(B584="",$I$6&lt;&gt;"Complete"),"",SUMIFS($E$32:$E$51,$C$32:$C$51,B584,$I$32:$I$51,"Ready"))</x:f>
      </x:c>
      <x:c r="I584" s="37" t="str">
        <x:f>IF(OR(B584="",$I$6&lt;&gt;"Complete"),"",I583+E584+G584-H584)</x:f>
      </x:c>
      <x:c r="J584" s="37" t="str">
        <x:f>IF(OR(B584="",$I$6&lt;&gt;"Complete"),"",'Inputs'!$C$49)</x:f>
      </x:c>
      <x:c r="K584" s="37" t="str">
        <x:f>IF(OR(B584="",$I$6&lt;&gt;"Complete"),"",I584-J584)</x:f>
      </x:c>
      <x:c r="L584" s="61" t="str">
        <x:f>IF(OR(B584="",$I$6&lt;&gt;"Complete"),"",IF(K584&lt;0,1,0))</x:f>
      </x:c>
    </x:row>
    <x:row r="585" ht="23" customHeight="1">
      <x:c r="A585" s="2"/>
      <x:c r="B585" s="60" t="str">
        <x:f>IF($D$6&lt;&gt;"Complete","",IF('Inputs'!$C$47+515&lt;=$D$9,'Inputs'!$C$47+515,""))</x:f>
      </x:c>
      <x:c r="C585" s="37" t="str">
        <x:f>IF(B585="","",SUMIFS($D$14:$D$23,$C$14:$C$23,B585))</x:f>
      </x:c>
      <x:c r="D585" s="37" t="str">
        <x:f>IF(B585="","",SUMIFS($E$14:$E$23,$C$14:$C$23,B585))</x:f>
      </x:c>
      <x:c r="E585" s="37" t="str">
        <x:f>IF(B585="","",C585-D585)</x:f>
      </x:c>
      <x:c r="F585" s="37" t="str">
        <x:f>IF(B585="","",F584+E585)</x:f>
      </x:c>
      <x:c r="G585" s="37" t="str">
        <x:f>IF(OR(B585="",$I$6&lt;&gt;"Complete"),"",SUMIFS($D$32:$D$51,$C$32:$C$51,B585,$I$32:$I$51,"Ready"))</x:f>
      </x:c>
      <x:c r="H585" s="37" t="str">
        <x:f>IF(OR(B585="",$I$6&lt;&gt;"Complete"),"",SUMIFS($E$32:$E$51,$C$32:$C$51,B585,$I$32:$I$51,"Ready"))</x:f>
      </x:c>
      <x:c r="I585" s="37" t="str">
        <x:f>IF(OR(B585="",$I$6&lt;&gt;"Complete"),"",I584+E585+G585-H585)</x:f>
      </x:c>
      <x:c r="J585" s="37" t="str">
        <x:f>IF(OR(B585="",$I$6&lt;&gt;"Complete"),"",'Inputs'!$C$49)</x:f>
      </x:c>
      <x:c r="K585" s="37" t="str">
        <x:f>IF(OR(B585="",$I$6&lt;&gt;"Complete"),"",I585-J585)</x:f>
      </x:c>
      <x:c r="L585" s="61" t="str">
        <x:f>IF(OR(B585="",$I$6&lt;&gt;"Complete"),"",IF(K585&lt;0,1,0))</x:f>
      </x:c>
    </x:row>
    <x:row r="586" ht="23" customHeight="1">
      <x:c r="A586" s="2"/>
      <x:c r="B586" s="60" t="str">
        <x:f>IF($D$6&lt;&gt;"Complete","",IF('Inputs'!$C$47+516&lt;=$D$9,'Inputs'!$C$47+516,""))</x:f>
      </x:c>
      <x:c r="C586" s="37" t="str">
        <x:f>IF(B586="","",SUMIFS($D$14:$D$23,$C$14:$C$23,B586))</x:f>
      </x:c>
      <x:c r="D586" s="37" t="str">
        <x:f>IF(B586="","",SUMIFS($E$14:$E$23,$C$14:$C$23,B586))</x:f>
      </x:c>
      <x:c r="E586" s="37" t="str">
        <x:f>IF(B586="","",C586-D586)</x:f>
      </x:c>
      <x:c r="F586" s="37" t="str">
        <x:f>IF(B586="","",F585+E586)</x:f>
      </x:c>
      <x:c r="G586" s="37" t="str">
        <x:f>IF(OR(B586="",$I$6&lt;&gt;"Complete"),"",SUMIFS($D$32:$D$51,$C$32:$C$51,B586,$I$32:$I$51,"Ready"))</x:f>
      </x:c>
      <x:c r="H586" s="37" t="str">
        <x:f>IF(OR(B586="",$I$6&lt;&gt;"Complete"),"",SUMIFS($E$32:$E$51,$C$32:$C$51,B586,$I$32:$I$51,"Ready"))</x:f>
      </x:c>
      <x:c r="I586" s="37" t="str">
        <x:f>IF(OR(B586="",$I$6&lt;&gt;"Complete"),"",I585+E586+G586-H586)</x:f>
      </x:c>
      <x:c r="J586" s="37" t="str">
        <x:f>IF(OR(B586="",$I$6&lt;&gt;"Complete"),"",'Inputs'!$C$49)</x:f>
      </x:c>
      <x:c r="K586" s="37" t="str">
        <x:f>IF(OR(B586="",$I$6&lt;&gt;"Complete"),"",I586-J586)</x:f>
      </x:c>
      <x:c r="L586" s="61" t="str">
        <x:f>IF(OR(B586="",$I$6&lt;&gt;"Complete"),"",IF(K586&lt;0,1,0))</x:f>
      </x:c>
    </x:row>
    <x:row r="587" ht="23" customHeight="1">
      <x:c r="A587" s="2"/>
      <x:c r="B587" s="60" t="str">
        <x:f>IF($D$6&lt;&gt;"Complete","",IF('Inputs'!$C$47+517&lt;=$D$9,'Inputs'!$C$47+517,""))</x:f>
      </x:c>
      <x:c r="C587" s="37" t="str">
        <x:f>IF(B587="","",SUMIFS($D$14:$D$23,$C$14:$C$23,B587))</x:f>
      </x:c>
      <x:c r="D587" s="37" t="str">
        <x:f>IF(B587="","",SUMIFS($E$14:$E$23,$C$14:$C$23,B587))</x:f>
      </x:c>
      <x:c r="E587" s="37" t="str">
        <x:f>IF(B587="","",C587-D587)</x:f>
      </x:c>
      <x:c r="F587" s="37" t="str">
        <x:f>IF(B587="","",F586+E587)</x:f>
      </x:c>
      <x:c r="G587" s="37" t="str">
        <x:f>IF(OR(B587="",$I$6&lt;&gt;"Complete"),"",SUMIFS($D$32:$D$51,$C$32:$C$51,B587,$I$32:$I$51,"Ready"))</x:f>
      </x:c>
      <x:c r="H587" s="37" t="str">
        <x:f>IF(OR(B587="",$I$6&lt;&gt;"Complete"),"",SUMIFS($E$32:$E$51,$C$32:$C$51,B587,$I$32:$I$51,"Ready"))</x:f>
      </x:c>
      <x:c r="I587" s="37" t="str">
        <x:f>IF(OR(B587="",$I$6&lt;&gt;"Complete"),"",I586+E587+G587-H587)</x:f>
      </x:c>
      <x:c r="J587" s="37" t="str">
        <x:f>IF(OR(B587="",$I$6&lt;&gt;"Complete"),"",'Inputs'!$C$49)</x:f>
      </x:c>
      <x:c r="K587" s="37" t="str">
        <x:f>IF(OR(B587="",$I$6&lt;&gt;"Complete"),"",I587-J587)</x:f>
      </x:c>
      <x:c r="L587" s="61" t="str">
        <x:f>IF(OR(B587="",$I$6&lt;&gt;"Complete"),"",IF(K587&lt;0,1,0))</x:f>
      </x:c>
    </x:row>
    <x:row r="588" ht="23" customHeight="1">
      <x:c r="A588" s="2"/>
      <x:c r="B588" s="60" t="str">
        <x:f>IF($D$6&lt;&gt;"Complete","",IF('Inputs'!$C$47+518&lt;=$D$9,'Inputs'!$C$47+518,""))</x:f>
      </x:c>
      <x:c r="C588" s="37" t="str">
        <x:f>IF(B588="","",SUMIFS($D$14:$D$23,$C$14:$C$23,B588))</x:f>
      </x:c>
      <x:c r="D588" s="37" t="str">
        <x:f>IF(B588="","",SUMIFS($E$14:$E$23,$C$14:$C$23,B588))</x:f>
      </x:c>
      <x:c r="E588" s="37" t="str">
        <x:f>IF(B588="","",C588-D588)</x:f>
      </x:c>
      <x:c r="F588" s="37" t="str">
        <x:f>IF(B588="","",F587+E588)</x:f>
      </x:c>
      <x:c r="G588" s="37" t="str">
        <x:f>IF(OR(B588="",$I$6&lt;&gt;"Complete"),"",SUMIFS($D$32:$D$51,$C$32:$C$51,B588,$I$32:$I$51,"Ready"))</x:f>
      </x:c>
      <x:c r="H588" s="37" t="str">
        <x:f>IF(OR(B588="",$I$6&lt;&gt;"Complete"),"",SUMIFS($E$32:$E$51,$C$32:$C$51,B588,$I$32:$I$51,"Ready"))</x:f>
      </x:c>
      <x:c r="I588" s="37" t="str">
        <x:f>IF(OR(B588="",$I$6&lt;&gt;"Complete"),"",I587+E588+G588-H588)</x:f>
      </x:c>
      <x:c r="J588" s="37" t="str">
        <x:f>IF(OR(B588="",$I$6&lt;&gt;"Complete"),"",'Inputs'!$C$49)</x:f>
      </x:c>
      <x:c r="K588" s="37" t="str">
        <x:f>IF(OR(B588="",$I$6&lt;&gt;"Complete"),"",I588-J588)</x:f>
      </x:c>
      <x:c r="L588" s="61" t="str">
        <x:f>IF(OR(B588="",$I$6&lt;&gt;"Complete"),"",IF(K588&lt;0,1,0))</x:f>
      </x:c>
    </x:row>
    <x:row r="589" ht="23" customHeight="1">
      <x:c r="A589" s="2"/>
      <x:c r="B589" s="60" t="str">
        <x:f>IF($D$6&lt;&gt;"Complete","",IF('Inputs'!$C$47+519&lt;=$D$9,'Inputs'!$C$47+519,""))</x:f>
      </x:c>
      <x:c r="C589" s="37" t="str">
        <x:f>IF(B589="","",SUMIFS($D$14:$D$23,$C$14:$C$23,B589))</x:f>
      </x:c>
      <x:c r="D589" s="37" t="str">
        <x:f>IF(B589="","",SUMIFS($E$14:$E$23,$C$14:$C$23,B589))</x:f>
      </x:c>
      <x:c r="E589" s="37" t="str">
        <x:f>IF(B589="","",C589-D589)</x:f>
      </x:c>
      <x:c r="F589" s="37" t="str">
        <x:f>IF(B589="","",F588+E589)</x:f>
      </x:c>
      <x:c r="G589" s="37" t="str">
        <x:f>IF(OR(B589="",$I$6&lt;&gt;"Complete"),"",SUMIFS($D$32:$D$51,$C$32:$C$51,B589,$I$32:$I$51,"Ready"))</x:f>
      </x:c>
      <x:c r="H589" s="37" t="str">
        <x:f>IF(OR(B589="",$I$6&lt;&gt;"Complete"),"",SUMIFS($E$32:$E$51,$C$32:$C$51,B589,$I$32:$I$51,"Ready"))</x:f>
      </x:c>
      <x:c r="I589" s="37" t="str">
        <x:f>IF(OR(B589="",$I$6&lt;&gt;"Complete"),"",I588+E589+G589-H589)</x:f>
      </x:c>
      <x:c r="J589" s="37" t="str">
        <x:f>IF(OR(B589="",$I$6&lt;&gt;"Complete"),"",'Inputs'!$C$49)</x:f>
      </x:c>
      <x:c r="K589" s="37" t="str">
        <x:f>IF(OR(B589="",$I$6&lt;&gt;"Complete"),"",I589-J589)</x:f>
      </x:c>
      <x:c r="L589" s="61" t="str">
        <x:f>IF(OR(B589="",$I$6&lt;&gt;"Complete"),"",IF(K589&lt;0,1,0))</x:f>
      </x:c>
    </x:row>
    <x:row r="590" ht="23" customHeight="1">
      <x:c r="A590" s="2"/>
      <x:c r="B590" s="60" t="str">
        <x:f>IF($D$6&lt;&gt;"Complete","",IF('Inputs'!$C$47+520&lt;=$D$9,'Inputs'!$C$47+520,""))</x:f>
      </x:c>
      <x:c r="C590" s="37" t="str">
        <x:f>IF(B590="","",SUMIFS($D$14:$D$23,$C$14:$C$23,B590))</x:f>
      </x:c>
      <x:c r="D590" s="37" t="str">
        <x:f>IF(B590="","",SUMIFS($E$14:$E$23,$C$14:$C$23,B590))</x:f>
      </x:c>
      <x:c r="E590" s="37" t="str">
        <x:f>IF(B590="","",C590-D590)</x:f>
      </x:c>
      <x:c r="F590" s="37" t="str">
        <x:f>IF(B590="","",F589+E590)</x:f>
      </x:c>
      <x:c r="G590" s="37" t="str">
        <x:f>IF(OR(B590="",$I$6&lt;&gt;"Complete"),"",SUMIFS($D$32:$D$51,$C$32:$C$51,B590,$I$32:$I$51,"Ready"))</x:f>
      </x:c>
      <x:c r="H590" s="37" t="str">
        <x:f>IF(OR(B590="",$I$6&lt;&gt;"Complete"),"",SUMIFS($E$32:$E$51,$C$32:$C$51,B590,$I$32:$I$51,"Ready"))</x:f>
      </x:c>
      <x:c r="I590" s="37" t="str">
        <x:f>IF(OR(B590="",$I$6&lt;&gt;"Complete"),"",I589+E590+G590-H590)</x:f>
      </x:c>
      <x:c r="J590" s="37" t="str">
        <x:f>IF(OR(B590="",$I$6&lt;&gt;"Complete"),"",'Inputs'!$C$49)</x:f>
      </x:c>
      <x:c r="K590" s="37" t="str">
        <x:f>IF(OR(B590="",$I$6&lt;&gt;"Complete"),"",I590-J590)</x:f>
      </x:c>
      <x:c r="L590" s="61" t="str">
        <x:f>IF(OR(B590="",$I$6&lt;&gt;"Complete"),"",IF(K590&lt;0,1,0))</x:f>
      </x:c>
    </x:row>
    <x:row r="591" ht="23" customHeight="1">
      <x:c r="A591" s="2"/>
      <x:c r="B591" s="60" t="str">
        <x:f>IF($D$6&lt;&gt;"Complete","",IF('Inputs'!$C$47+521&lt;=$D$9,'Inputs'!$C$47+521,""))</x:f>
      </x:c>
      <x:c r="C591" s="37" t="str">
        <x:f>IF(B591="","",SUMIFS($D$14:$D$23,$C$14:$C$23,B591))</x:f>
      </x:c>
      <x:c r="D591" s="37" t="str">
        <x:f>IF(B591="","",SUMIFS($E$14:$E$23,$C$14:$C$23,B591))</x:f>
      </x:c>
      <x:c r="E591" s="37" t="str">
        <x:f>IF(B591="","",C591-D591)</x:f>
      </x:c>
      <x:c r="F591" s="37" t="str">
        <x:f>IF(B591="","",F590+E591)</x:f>
      </x:c>
      <x:c r="G591" s="37" t="str">
        <x:f>IF(OR(B591="",$I$6&lt;&gt;"Complete"),"",SUMIFS($D$32:$D$51,$C$32:$C$51,B591,$I$32:$I$51,"Ready"))</x:f>
      </x:c>
      <x:c r="H591" s="37" t="str">
        <x:f>IF(OR(B591="",$I$6&lt;&gt;"Complete"),"",SUMIFS($E$32:$E$51,$C$32:$C$51,B591,$I$32:$I$51,"Ready"))</x:f>
      </x:c>
      <x:c r="I591" s="37" t="str">
        <x:f>IF(OR(B591="",$I$6&lt;&gt;"Complete"),"",I590+E591+G591-H591)</x:f>
      </x:c>
      <x:c r="J591" s="37" t="str">
        <x:f>IF(OR(B591="",$I$6&lt;&gt;"Complete"),"",'Inputs'!$C$49)</x:f>
      </x:c>
      <x:c r="K591" s="37" t="str">
        <x:f>IF(OR(B591="",$I$6&lt;&gt;"Complete"),"",I591-J591)</x:f>
      </x:c>
      <x:c r="L591" s="61" t="str">
        <x:f>IF(OR(B591="",$I$6&lt;&gt;"Complete"),"",IF(K591&lt;0,1,0))</x:f>
      </x:c>
    </x:row>
    <x:row r="592" ht="23" customHeight="1">
      <x:c r="A592" s="2"/>
      <x:c r="B592" s="60" t="str">
        <x:f>IF($D$6&lt;&gt;"Complete","",IF('Inputs'!$C$47+522&lt;=$D$9,'Inputs'!$C$47+522,""))</x:f>
      </x:c>
      <x:c r="C592" s="37" t="str">
        <x:f>IF(B592="","",SUMIFS($D$14:$D$23,$C$14:$C$23,B592))</x:f>
      </x:c>
      <x:c r="D592" s="37" t="str">
        <x:f>IF(B592="","",SUMIFS($E$14:$E$23,$C$14:$C$23,B592))</x:f>
      </x:c>
      <x:c r="E592" s="37" t="str">
        <x:f>IF(B592="","",C592-D592)</x:f>
      </x:c>
      <x:c r="F592" s="37" t="str">
        <x:f>IF(B592="","",F591+E592)</x:f>
      </x:c>
      <x:c r="G592" s="37" t="str">
        <x:f>IF(OR(B592="",$I$6&lt;&gt;"Complete"),"",SUMIFS($D$32:$D$51,$C$32:$C$51,B592,$I$32:$I$51,"Ready"))</x:f>
      </x:c>
      <x:c r="H592" s="37" t="str">
        <x:f>IF(OR(B592="",$I$6&lt;&gt;"Complete"),"",SUMIFS($E$32:$E$51,$C$32:$C$51,B592,$I$32:$I$51,"Ready"))</x:f>
      </x:c>
      <x:c r="I592" s="37" t="str">
        <x:f>IF(OR(B592="",$I$6&lt;&gt;"Complete"),"",I591+E592+G592-H592)</x:f>
      </x:c>
      <x:c r="J592" s="37" t="str">
        <x:f>IF(OR(B592="",$I$6&lt;&gt;"Complete"),"",'Inputs'!$C$49)</x:f>
      </x:c>
      <x:c r="K592" s="37" t="str">
        <x:f>IF(OR(B592="",$I$6&lt;&gt;"Complete"),"",I592-J592)</x:f>
      </x:c>
      <x:c r="L592" s="61" t="str">
        <x:f>IF(OR(B592="",$I$6&lt;&gt;"Complete"),"",IF(K592&lt;0,1,0))</x:f>
      </x:c>
    </x:row>
    <x:row r="593" ht="23" customHeight="1">
      <x:c r="A593" s="2"/>
      <x:c r="B593" s="60" t="str">
        <x:f>IF($D$6&lt;&gt;"Complete","",IF('Inputs'!$C$47+523&lt;=$D$9,'Inputs'!$C$47+523,""))</x:f>
      </x:c>
      <x:c r="C593" s="37" t="str">
        <x:f>IF(B593="","",SUMIFS($D$14:$D$23,$C$14:$C$23,B593))</x:f>
      </x:c>
      <x:c r="D593" s="37" t="str">
        <x:f>IF(B593="","",SUMIFS($E$14:$E$23,$C$14:$C$23,B593))</x:f>
      </x:c>
      <x:c r="E593" s="37" t="str">
        <x:f>IF(B593="","",C593-D593)</x:f>
      </x:c>
      <x:c r="F593" s="37" t="str">
        <x:f>IF(B593="","",F592+E593)</x:f>
      </x:c>
      <x:c r="G593" s="37" t="str">
        <x:f>IF(OR(B593="",$I$6&lt;&gt;"Complete"),"",SUMIFS($D$32:$D$51,$C$32:$C$51,B593,$I$32:$I$51,"Ready"))</x:f>
      </x:c>
      <x:c r="H593" s="37" t="str">
        <x:f>IF(OR(B593="",$I$6&lt;&gt;"Complete"),"",SUMIFS($E$32:$E$51,$C$32:$C$51,B593,$I$32:$I$51,"Ready"))</x:f>
      </x:c>
      <x:c r="I593" s="37" t="str">
        <x:f>IF(OR(B593="",$I$6&lt;&gt;"Complete"),"",I592+E593+G593-H593)</x:f>
      </x:c>
      <x:c r="J593" s="37" t="str">
        <x:f>IF(OR(B593="",$I$6&lt;&gt;"Complete"),"",'Inputs'!$C$49)</x:f>
      </x:c>
      <x:c r="K593" s="37" t="str">
        <x:f>IF(OR(B593="",$I$6&lt;&gt;"Complete"),"",I593-J593)</x:f>
      </x:c>
      <x:c r="L593" s="61" t="str">
        <x:f>IF(OR(B593="",$I$6&lt;&gt;"Complete"),"",IF(K593&lt;0,1,0))</x:f>
      </x:c>
    </x:row>
    <x:row r="594" ht="23" customHeight="1">
      <x:c r="A594" s="2"/>
      <x:c r="B594" s="60" t="str">
        <x:f>IF($D$6&lt;&gt;"Complete","",IF('Inputs'!$C$47+524&lt;=$D$9,'Inputs'!$C$47+524,""))</x:f>
      </x:c>
      <x:c r="C594" s="37" t="str">
        <x:f>IF(B594="","",SUMIFS($D$14:$D$23,$C$14:$C$23,B594))</x:f>
      </x:c>
      <x:c r="D594" s="37" t="str">
        <x:f>IF(B594="","",SUMIFS($E$14:$E$23,$C$14:$C$23,B594))</x:f>
      </x:c>
      <x:c r="E594" s="37" t="str">
        <x:f>IF(B594="","",C594-D594)</x:f>
      </x:c>
      <x:c r="F594" s="37" t="str">
        <x:f>IF(B594="","",F593+E594)</x:f>
      </x:c>
      <x:c r="G594" s="37" t="str">
        <x:f>IF(OR(B594="",$I$6&lt;&gt;"Complete"),"",SUMIFS($D$32:$D$51,$C$32:$C$51,B594,$I$32:$I$51,"Ready"))</x:f>
      </x:c>
      <x:c r="H594" s="37" t="str">
        <x:f>IF(OR(B594="",$I$6&lt;&gt;"Complete"),"",SUMIFS($E$32:$E$51,$C$32:$C$51,B594,$I$32:$I$51,"Ready"))</x:f>
      </x:c>
      <x:c r="I594" s="37" t="str">
        <x:f>IF(OR(B594="",$I$6&lt;&gt;"Complete"),"",I593+E594+G594-H594)</x:f>
      </x:c>
      <x:c r="J594" s="37" t="str">
        <x:f>IF(OR(B594="",$I$6&lt;&gt;"Complete"),"",'Inputs'!$C$49)</x:f>
      </x:c>
      <x:c r="K594" s="37" t="str">
        <x:f>IF(OR(B594="",$I$6&lt;&gt;"Complete"),"",I594-J594)</x:f>
      </x:c>
      <x:c r="L594" s="61" t="str">
        <x:f>IF(OR(B594="",$I$6&lt;&gt;"Complete"),"",IF(K594&lt;0,1,0))</x:f>
      </x:c>
    </x:row>
    <x:row r="595" ht="23" customHeight="1">
      <x:c r="A595" s="2"/>
      <x:c r="B595" s="60" t="str">
        <x:f>IF($D$6&lt;&gt;"Complete","",IF('Inputs'!$C$47+525&lt;=$D$9,'Inputs'!$C$47+525,""))</x:f>
      </x:c>
      <x:c r="C595" s="37" t="str">
        <x:f>IF(B595="","",SUMIFS($D$14:$D$23,$C$14:$C$23,B595))</x:f>
      </x:c>
      <x:c r="D595" s="37" t="str">
        <x:f>IF(B595="","",SUMIFS($E$14:$E$23,$C$14:$C$23,B595))</x:f>
      </x:c>
      <x:c r="E595" s="37" t="str">
        <x:f>IF(B595="","",C595-D595)</x:f>
      </x:c>
      <x:c r="F595" s="37" t="str">
        <x:f>IF(B595="","",F594+E595)</x:f>
      </x:c>
      <x:c r="G595" s="37" t="str">
        <x:f>IF(OR(B595="",$I$6&lt;&gt;"Complete"),"",SUMIFS($D$32:$D$51,$C$32:$C$51,B595,$I$32:$I$51,"Ready"))</x:f>
      </x:c>
      <x:c r="H595" s="37" t="str">
        <x:f>IF(OR(B595="",$I$6&lt;&gt;"Complete"),"",SUMIFS($E$32:$E$51,$C$32:$C$51,B595,$I$32:$I$51,"Ready"))</x:f>
      </x:c>
      <x:c r="I595" s="37" t="str">
        <x:f>IF(OR(B595="",$I$6&lt;&gt;"Complete"),"",I594+E595+G595-H595)</x:f>
      </x:c>
      <x:c r="J595" s="37" t="str">
        <x:f>IF(OR(B595="",$I$6&lt;&gt;"Complete"),"",'Inputs'!$C$49)</x:f>
      </x:c>
      <x:c r="K595" s="37" t="str">
        <x:f>IF(OR(B595="",$I$6&lt;&gt;"Complete"),"",I595-J595)</x:f>
      </x:c>
      <x:c r="L595" s="61" t="str">
        <x:f>IF(OR(B595="",$I$6&lt;&gt;"Complete"),"",IF(K595&lt;0,1,0))</x:f>
      </x:c>
    </x:row>
    <x:row r="596" ht="23" customHeight="1">
      <x:c r="A596" s="2"/>
      <x:c r="B596" s="60" t="str">
        <x:f>IF($D$6&lt;&gt;"Complete","",IF('Inputs'!$C$47+526&lt;=$D$9,'Inputs'!$C$47+526,""))</x:f>
      </x:c>
      <x:c r="C596" s="37" t="str">
        <x:f>IF(B596="","",SUMIFS($D$14:$D$23,$C$14:$C$23,B596))</x:f>
      </x:c>
      <x:c r="D596" s="37" t="str">
        <x:f>IF(B596="","",SUMIFS($E$14:$E$23,$C$14:$C$23,B596))</x:f>
      </x:c>
      <x:c r="E596" s="37" t="str">
        <x:f>IF(B596="","",C596-D596)</x:f>
      </x:c>
      <x:c r="F596" s="37" t="str">
        <x:f>IF(B596="","",F595+E596)</x:f>
      </x:c>
      <x:c r="G596" s="37" t="str">
        <x:f>IF(OR(B596="",$I$6&lt;&gt;"Complete"),"",SUMIFS($D$32:$D$51,$C$32:$C$51,B596,$I$32:$I$51,"Ready"))</x:f>
      </x:c>
      <x:c r="H596" s="37" t="str">
        <x:f>IF(OR(B596="",$I$6&lt;&gt;"Complete"),"",SUMIFS($E$32:$E$51,$C$32:$C$51,B596,$I$32:$I$51,"Ready"))</x:f>
      </x:c>
      <x:c r="I596" s="37" t="str">
        <x:f>IF(OR(B596="",$I$6&lt;&gt;"Complete"),"",I595+E596+G596-H596)</x:f>
      </x:c>
      <x:c r="J596" s="37" t="str">
        <x:f>IF(OR(B596="",$I$6&lt;&gt;"Complete"),"",'Inputs'!$C$49)</x:f>
      </x:c>
      <x:c r="K596" s="37" t="str">
        <x:f>IF(OR(B596="",$I$6&lt;&gt;"Complete"),"",I596-J596)</x:f>
      </x:c>
      <x:c r="L596" s="61" t="str">
        <x:f>IF(OR(B596="",$I$6&lt;&gt;"Complete"),"",IF(K596&lt;0,1,0))</x:f>
      </x:c>
    </x:row>
    <x:row r="597" ht="23" customHeight="1">
      <x:c r="A597" s="2"/>
      <x:c r="B597" s="60" t="str">
        <x:f>IF($D$6&lt;&gt;"Complete","",IF('Inputs'!$C$47+527&lt;=$D$9,'Inputs'!$C$47+527,""))</x:f>
      </x:c>
      <x:c r="C597" s="37" t="str">
        <x:f>IF(B597="","",SUMIFS($D$14:$D$23,$C$14:$C$23,B597))</x:f>
      </x:c>
      <x:c r="D597" s="37" t="str">
        <x:f>IF(B597="","",SUMIFS($E$14:$E$23,$C$14:$C$23,B597))</x:f>
      </x:c>
      <x:c r="E597" s="37" t="str">
        <x:f>IF(B597="","",C597-D597)</x:f>
      </x:c>
      <x:c r="F597" s="37" t="str">
        <x:f>IF(B597="","",F596+E597)</x:f>
      </x:c>
      <x:c r="G597" s="37" t="str">
        <x:f>IF(OR(B597="",$I$6&lt;&gt;"Complete"),"",SUMIFS($D$32:$D$51,$C$32:$C$51,B597,$I$32:$I$51,"Ready"))</x:f>
      </x:c>
      <x:c r="H597" s="37" t="str">
        <x:f>IF(OR(B597="",$I$6&lt;&gt;"Complete"),"",SUMIFS($E$32:$E$51,$C$32:$C$51,B597,$I$32:$I$51,"Ready"))</x:f>
      </x:c>
      <x:c r="I597" s="37" t="str">
        <x:f>IF(OR(B597="",$I$6&lt;&gt;"Complete"),"",I596+E597+G597-H597)</x:f>
      </x:c>
      <x:c r="J597" s="37" t="str">
        <x:f>IF(OR(B597="",$I$6&lt;&gt;"Complete"),"",'Inputs'!$C$49)</x:f>
      </x:c>
      <x:c r="K597" s="37" t="str">
        <x:f>IF(OR(B597="",$I$6&lt;&gt;"Complete"),"",I597-J597)</x:f>
      </x:c>
      <x:c r="L597" s="61" t="str">
        <x:f>IF(OR(B597="",$I$6&lt;&gt;"Complete"),"",IF(K597&lt;0,1,0))</x:f>
      </x:c>
    </x:row>
    <x:row r="598" ht="23" customHeight="1">
      <x:c r="A598" s="2"/>
      <x:c r="B598" s="60" t="str">
        <x:f>IF($D$6&lt;&gt;"Complete","",IF('Inputs'!$C$47+528&lt;=$D$9,'Inputs'!$C$47+528,""))</x:f>
      </x:c>
      <x:c r="C598" s="37" t="str">
        <x:f>IF(B598="","",SUMIFS($D$14:$D$23,$C$14:$C$23,B598))</x:f>
      </x:c>
      <x:c r="D598" s="37" t="str">
        <x:f>IF(B598="","",SUMIFS($E$14:$E$23,$C$14:$C$23,B598))</x:f>
      </x:c>
      <x:c r="E598" s="37" t="str">
        <x:f>IF(B598="","",C598-D598)</x:f>
      </x:c>
      <x:c r="F598" s="37" t="str">
        <x:f>IF(B598="","",F597+E598)</x:f>
      </x:c>
      <x:c r="G598" s="37" t="str">
        <x:f>IF(OR(B598="",$I$6&lt;&gt;"Complete"),"",SUMIFS($D$32:$D$51,$C$32:$C$51,B598,$I$32:$I$51,"Ready"))</x:f>
      </x:c>
      <x:c r="H598" s="37" t="str">
        <x:f>IF(OR(B598="",$I$6&lt;&gt;"Complete"),"",SUMIFS($E$32:$E$51,$C$32:$C$51,B598,$I$32:$I$51,"Ready"))</x:f>
      </x:c>
      <x:c r="I598" s="37" t="str">
        <x:f>IF(OR(B598="",$I$6&lt;&gt;"Complete"),"",I597+E598+G598-H598)</x:f>
      </x:c>
      <x:c r="J598" s="37" t="str">
        <x:f>IF(OR(B598="",$I$6&lt;&gt;"Complete"),"",'Inputs'!$C$49)</x:f>
      </x:c>
      <x:c r="K598" s="37" t="str">
        <x:f>IF(OR(B598="",$I$6&lt;&gt;"Complete"),"",I598-J598)</x:f>
      </x:c>
      <x:c r="L598" s="61" t="str">
        <x:f>IF(OR(B598="",$I$6&lt;&gt;"Complete"),"",IF(K598&lt;0,1,0))</x:f>
      </x:c>
    </x:row>
    <x:row r="599" ht="23" customHeight="1">
      <x:c r="A599" s="2"/>
      <x:c r="B599" s="60" t="str">
        <x:f>IF($D$6&lt;&gt;"Complete","",IF('Inputs'!$C$47+529&lt;=$D$9,'Inputs'!$C$47+529,""))</x:f>
      </x:c>
      <x:c r="C599" s="37" t="str">
        <x:f>IF(B599="","",SUMIFS($D$14:$D$23,$C$14:$C$23,B599))</x:f>
      </x:c>
      <x:c r="D599" s="37" t="str">
        <x:f>IF(B599="","",SUMIFS($E$14:$E$23,$C$14:$C$23,B599))</x:f>
      </x:c>
      <x:c r="E599" s="37" t="str">
        <x:f>IF(B599="","",C599-D599)</x:f>
      </x:c>
      <x:c r="F599" s="37" t="str">
        <x:f>IF(B599="","",F598+E599)</x:f>
      </x:c>
      <x:c r="G599" s="37" t="str">
        <x:f>IF(OR(B599="",$I$6&lt;&gt;"Complete"),"",SUMIFS($D$32:$D$51,$C$32:$C$51,B599,$I$32:$I$51,"Ready"))</x:f>
      </x:c>
      <x:c r="H599" s="37" t="str">
        <x:f>IF(OR(B599="",$I$6&lt;&gt;"Complete"),"",SUMIFS($E$32:$E$51,$C$32:$C$51,B599,$I$32:$I$51,"Ready"))</x:f>
      </x:c>
      <x:c r="I599" s="37" t="str">
        <x:f>IF(OR(B599="",$I$6&lt;&gt;"Complete"),"",I598+E599+G599-H599)</x:f>
      </x:c>
      <x:c r="J599" s="37" t="str">
        <x:f>IF(OR(B599="",$I$6&lt;&gt;"Complete"),"",'Inputs'!$C$49)</x:f>
      </x:c>
      <x:c r="K599" s="37" t="str">
        <x:f>IF(OR(B599="",$I$6&lt;&gt;"Complete"),"",I599-J599)</x:f>
      </x:c>
      <x:c r="L599" s="61" t="str">
        <x:f>IF(OR(B599="",$I$6&lt;&gt;"Complete"),"",IF(K599&lt;0,1,0))</x:f>
      </x:c>
    </x:row>
    <x:row r="600" ht="23" customHeight="1">
      <x:c r="A600" s="2"/>
      <x:c r="B600" s="60" t="str">
        <x:f>IF($D$6&lt;&gt;"Complete","",IF('Inputs'!$C$47+530&lt;=$D$9,'Inputs'!$C$47+530,""))</x:f>
      </x:c>
      <x:c r="C600" s="37" t="str">
        <x:f>IF(B600="","",SUMIFS($D$14:$D$23,$C$14:$C$23,B600))</x:f>
      </x:c>
      <x:c r="D600" s="37" t="str">
        <x:f>IF(B600="","",SUMIFS($E$14:$E$23,$C$14:$C$23,B600))</x:f>
      </x:c>
      <x:c r="E600" s="37" t="str">
        <x:f>IF(B600="","",C600-D600)</x:f>
      </x:c>
      <x:c r="F600" s="37" t="str">
        <x:f>IF(B600="","",F599+E600)</x:f>
      </x:c>
      <x:c r="G600" s="37" t="str">
        <x:f>IF(OR(B600="",$I$6&lt;&gt;"Complete"),"",SUMIFS($D$32:$D$51,$C$32:$C$51,B600,$I$32:$I$51,"Ready"))</x:f>
      </x:c>
      <x:c r="H600" s="37" t="str">
        <x:f>IF(OR(B600="",$I$6&lt;&gt;"Complete"),"",SUMIFS($E$32:$E$51,$C$32:$C$51,B600,$I$32:$I$51,"Ready"))</x:f>
      </x:c>
      <x:c r="I600" s="37" t="str">
        <x:f>IF(OR(B600="",$I$6&lt;&gt;"Complete"),"",I599+E600+G600-H600)</x:f>
      </x:c>
      <x:c r="J600" s="37" t="str">
        <x:f>IF(OR(B600="",$I$6&lt;&gt;"Complete"),"",'Inputs'!$C$49)</x:f>
      </x:c>
      <x:c r="K600" s="37" t="str">
        <x:f>IF(OR(B600="",$I$6&lt;&gt;"Complete"),"",I600-J600)</x:f>
      </x:c>
      <x:c r="L600" s="61" t="str">
        <x:f>IF(OR(B600="",$I$6&lt;&gt;"Complete"),"",IF(K600&lt;0,1,0))</x:f>
      </x:c>
    </x:row>
    <x:row r="601" ht="23" customHeight="1">
      <x:c r="A601" s="2"/>
      <x:c r="B601" s="60" t="str">
        <x:f>IF($D$6&lt;&gt;"Complete","",IF('Inputs'!$C$47+531&lt;=$D$9,'Inputs'!$C$47+531,""))</x:f>
      </x:c>
      <x:c r="C601" s="37" t="str">
        <x:f>IF(B601="","",SUMIFS($D$14:$D$23,$C$14:$C$23,B601))</x:f>
      </x:c>
      <x:c r="D601" s="37" t="str">
        <x:f>IF(B601="","",SUMIFS($E$14:$E$23,$C$14:$C$23,B601))</x:f>
      </x:c>
      <x:c r="E601" s="37" t="str">
        <x:f>IF(B601="","",C601-D601)</x:f>
      </x:c>
      <x:c r="F601" s="37" t="str">
        <x:f>IF(B601="","",F600+E601)</x:f>
      </x:c>
      <x:c r="G601" s="37" t="str">
        <x:f>IF(OR(B601="",$I$6&lt;&gt;"Complete"),"",SUMIFS($D$32:$D$51,$C$32:$C$51,B601,$I$32:$I$51,"Ready"))</x:f>
      </x:c>
      <x:c r="H601" s="37" t="str">
        <x:f>IF(OR(B601="",$I$6&lt;&gt;"Complete"),"",SUMIFS($E$32:$E$51,$C$32:$C$51,B601,$I$32:$I$51,"Ready"))</x:f>
      </x:c>
      <x:c r="I601" s="37" t="str">
        <x:f>IF(OR(B601="",$I$6&lt;&gt;"Complete"),"",I600+E601+G601-H601)</x:f>
      </x:c>
      <x:c r="J601" s="37" t="str">
        <x:f>IF(OR(B601="",$I$6&lt;&gt;"Complete"),"",'Inputs'!$C$49)</x:f>
      </x:c>
      <x:c r="K601" s="37" t="str">
        <x:f>IF(OR(B601="",$I$6&lt;&gt;"Complete"),"",I601-J601)</x:f>
      </x:c>
      <x:c r="L601" s="61" t="str">
        <x:f>IF(OR(B601="",$I$6&lt;&gt;"Complete"),"",IF(K601&lt;0,1,0))</x:f>
      </x:c>
    </x:row>
    <x:row r="602" ht="23" customHeight="1">
      <x:c r="A602" s="2"/>
      <x:c r="B602" s="60" t="str">
        <x:f>IF($D$6&lt;&gt;"Complete","",IF('Inputs'!$C$47+532&lt;=$D$9,'Inputs'!$C$47+532,""))</x:f>
      </x:c>
      <x:c r="C602" s="37" t="str">
        <x:f>IF(B602="","",SUMIFS($D$14:$D$23,$C$14:$C$23,B602))</x:f>
      </x:c>
      <x:c r="D602" s="37" t="str">
        <x:f>IF(B602="","",SUMIFS($E$14:$E$23,$C$14:$C$23,B602))</x:f>
      </x:c>
      <x:c r="E602" s="37" t="str">
        <x:f>IF(B602="","",C602-D602)</x:f>
      </x:c>
      <x:c r="F602" s="37" t="str">
        <x:f>IF(B602="","",F601+E602)</x:f>
      </x:c>
      <x:c r="G602" s="37" t="str">
        <x:f>IF(OR(B602="",$I$6&lt;&gt;"Complete"),"",SUMIFS($D$32:$D$51,$C$32:$C$51,B602,$I$32:$I$51,"Ready"))</x:f>
      </x:c>
      <x:c r="H602" s="37" t="str">
        <x:f>IF(OR(B602="",$I$6&lt;&gt;"Complete"),"",SUMIFS($E$32:$E$51,$C$32:$C$51,B602,$I$32:$I$51,"Ready"))</x:f>
      </x:c>
      <x:c r="I602" s="37" t="str">
        <x:f>IF(OR(B602="",$I$6&lt;&gt;"Complete"),"",I601+E602+G602-H602)</x:f>
      </x:c>
      <x:c r="J602" s="37" t="str">
        <x:f>IF(OR(B602="",$I$6&lt;&gt;"Complete"),"",'Inputs'!$C$49)</x:f>
      </x:c>
      <x:c r="K602" s="37" t="str">
        <x:f>IF(OR(B602="",$I$6&lt;&gt;"Complete"),"",I602-J602)</x:f>
      </x:c>
      <x:c r="L602" s="61" t="str">
        <x:f>IF(OR(B602="",$I$6&lt;&gt;"Complete"),"",IF(K602&lt;0,1,0))</x:f>
      </x:c>
    </x:row>
    <x:row r="603" ht="23" customHeight="1">
      <x:c r="A603" s="2"/>
      <x:c r="B603" s="60" t="str">
        <x:f>IF($D$6&lt;&gt;"Complete","",IF('Inputs'!$C$47+533&lt;=$D$9,'Inputs'!$C$47+533,""))</x:f>
      </x:c>
      <x:c r="C603" s="37" t="str">
        <x:f>IF(B603="","",SUMIFS($D$14:$D$23,$C$14:$C$23,B603))</x:f>
      </x:c>
      <x:c r="D603" s="37" t="str">
        <x:f>IF(B603="","",SUMIFS($E$14:$E$23,$C$14:$C$23,B603))</x:f>
      </x:c>
      <x:c r="E603" s="37" t="str">
        <x:f>IF(B603="","",C603-D603)</x:f>
      </x:c>
      <x:c r="F603" s="37" t="str">
        <x:f>IF(B603="","",F602+E603)</x:f>
      </x:c>
      <x:c r="G603" s="37" t="str">
        <x:f>IF(OR(B603="",$I$6&lt;&gt;"Complete"),"",SUMIFS($D$32:$D$51,$C$32:$C$51,B603,$I$32:$I$51,"Ready"))</x:f>
      </x:c>
      <x:c r="H603" s="37" t="str">
        <x:f>IF(OR(B603="",$I$6&lt;&gt;"Complete"),"",SUMIFS($E$32:$E$51,$C$32:$C$51,B603,$I$32:$I$51,"Ready"))</x:f>
      </x:c>
      <x:c r="I603" s="37" t="str">
        <x:f>IF(OR(B603="",$I$6&lt;&gt;"Complete"),"",I602+E603+G603-H603)</x:f>
      </x:c>
      <x:c r="J603" s="37" t="str">
        <x:f>IF(OR(B603="",$I$6&lt;&gt;"Complete"),"",'Inputs'!$C$49)</x:f>
      </x:c>
      <x:c r="K603" s="37" t="str">
        <x:f>IF(OR(B603="",$I$6&lt;&gt;"Complete"),"",I603-J603)</x:f>
      </x:c>
      <x:c r="L603" s="61" t="str">
        <x:f>IF(OR(B603="",$I$6&lt;&gt;"Complete"),"",IF(K603&lt;0,1,0))</x:f>
      </x:c>
    </x:row>
    <x:row r="604" ht="23" customHeight="1">
      <x:c r="A604" s="2"/>
      <x:c r="B604" s="60" t="str">
        <x:f>IF($D$6&lt;&gt;"Complete","",IF('Inputs'!$C$47+534&lt;=$D$9,'Inputs'!$C$47+534,""))</x:f>
      </x:c>
      <x:c r="C604" s="37" t="str">
        <x:f>IF(B604="","",SUMIFS($D$14:$D$23,$C$14:$C$23,B604))</x:f>
      </x:c>
      <x:c r="D604" s="37" t="str">
        <x:f>IF(B604="","",SUMIFS($E$14:$E$23,$C$14:$C$23,B604))</x:f>
      </x:c>
      <x:c r="E604" s="37" t="str">
        <x:f>IF(B604="","",C604-D604)</x:f>
      </x:c>
      <x:c r="F604" s="37" t="str">
        <x:f>IF(B604="","",F603+E604)</x:f>
      </x:c>
      <x:c r="G604" s="37" t="str">
        <x:f>IF(OR(B604="",$I$6&lt;&gt;"Complete"),"",SUMIFS($D$32:$D$51,$C$32:$C$51,B604,$I$32:$I$51,"Ready"))</x:f>
      </x:c>
      <x:c r="H604" s="37" t="str">
        <x:f>IF(OR(B604="",$I$6&lt;&gt;"Complete"),"",SUMIFS($E$32:$E$51,$C$32:$C$51,B604,$I$32:$I$51,"Ready"))</x:f>
      </x:c>
      <x:c r="I604" s="37" t="str">
        <x:f>IF(OR(B604="",$I$6&lt;&gt;"Complete"),"",I603+E604+G604-H604)</x:f>
      </x:c>
      <x:c r="J604" s="37" t="str">
        <x:f>IF(OR(B604="",$I$6&lt;&gt;"Complete"),"",'Inputs'!$C$49)</x:f>
      </x:c>
      <x:c r="K604" s="37" t="str">
        <x:f>IF(OR(B604="",$I$6&lt;&gt;"Complete"),"",I604-J604)</x:f>
      </x:c>
      <x:c r="L604" s="61" t="str">
        <x:f>IF(OR(B604="",$I$6&lt;&gt;"Complete"),"",IF(K604&lt;0,1,0))</x:f>
      </x:c>
    </x:row>
    <x:row r="605" ht="23" customHeight="1">
      <x:c r="A605" s="2"/>
      <x:c r="B605" s="60" t="str">
        <x:f>IF($D$6&lt;&gt;"Complete","",IF('Inputs'!$C$47+535&lt;=$D$9,'Inputs'!$C$47+535,""))</x:f>
      </x:c>
      <x:c r="C605" s="37" t="str">
        <x:f>IF(B605="","",SUMIFS($D$14:$D$23,$C$14:$C$23,B605))</x:f>
      </x:c>
      <x:c r="D605" s="37" t="str">
        <x:f>IF(B605="","",SUMIFS($E$14:$E$23,$C$14:$C$23,B605))</x:f>
      </x:c>
      <x:c r="E605" s="37" t="str">
        <x:f>IF(B605="","",C605-D605)</x:f>
      </x:c>
      <x:c r="F605" s="37" t="str">
        <x:f>IF(B605="","",F604+E605)</x:f>
      </x:c>
      <x:c r="G605" s="37" t="str">
        <x:f>IF(OR(B605="",$I$6&lt;&gt;"Complete"),"",SUMIFS($D$32:$D$51,$C$32:$C$51,B605,$I$32:$I$51,"Ready"))</x:f>
      </x:c>
      <x:c r="H605" s="37" t="str">
        <x:f>IF(OR(B605="",$I$6&lt;&gt;"Complete"),"",SUMIFS($E$32:$E$51,$C$32:$C$51,B605,$I$32:$I$51,"Ready"))</x:f>
      </x:c>
      <x:c r="I605" s="37" t="str">
        <x:f>IF(OR(B605="",$I$6&lt;&gt;"Complete"),"",I604+E605+G605-H605)</x:f>
      </x:c>
      <x:c r="J605" s="37" t="str">
        <x:f>IF(OR(B605="",$I$6&lt;&gt;"Complete"),"",'Inputs'!$C$49)</x:f>
      </x:c>
      <x:c r="K605" s="37" t="str">
        <x:f>IF(OR(B605="",$I$6&lt;&gt;"Complete"),"",I605-J605)</x:f>
      </x:c>
      <x:c r="L605" s="61" t="str">
        <x:f>IF(OR(B605="",$I$6&lt;&gt;"Complete"),"",IF(K605&lt;0,1,0))</x:f>
      </x:c>
    </x:row>
    <x:row r="606" ht="23" customHeight="1">
      <x:c r="A606" s="2"/>
      <x:c r="B606" s="60" t="str">
        <x:f>IF($D$6&lt;&gt;"Complete","",IF('Inputs'!$C$47+536&lt;=$D$9,'Inputs'!$C$47+536,""))</x:f>
      </x:c>
      <x:c r="C606" s="37" t="str">
        <x:f>IF(B606="","",SUMIFS($D$14:$D$23,$C$14:$C$23,B606))</x:f>
      </x:c>
      <x:c r="D606" s="37" t="str">
        <x:f>IF(B606="","",SUMIFS($E$14:$E$23,$C$14:$C$23,B606))</x:f>
      </x:c>
      <x:c r="E606" s="37" t="str">
        <x:f>IF(B606="","",C606-D606)</x:f>
      </x:c>
      <x:c r="F606" s="37" t="str">
        <x:f>IF(B606="","",F605+E606)</x:f>
      </x:c>
      <x:c r="G606" s="37" t="str">
        <x:f>IF(OR(B606="",$I$6&lt;&gt;"Complete"),"",SUMIFS($D$32:$D$51,$C$32:$C$51,B606,$I$32:$I$51,"Ready"))</x:f>
      </x:c>
      <x:c r="H606" s="37" t="str">
        <x:f>IF(OR(B606="",$I$6&lt;&gt;"Complete"),"",SUMIFS($E$32:$E$51,$C$32:$C$51,B606,$I$32:$I$51,"Ready"))</x:f>
      </x:c>
      <x:c r="I606" s="37" t="str">
        <x:f>IF(OR(B606="",$I$6&lt;&gt;"Complete"),"",I605+E606+G606-H606)</x:f>
      </x:c>
      <x:c r="J606" s="37" t="str">
        <x:f>IF(OR(B606="",$I$6&lt;&gt;"Complete"),"",'Inputs'!$C$49)</x:f>
      </x:c>
      <x:c r="K606" s="37" t="str">
        <x:f>IF(OR(B606="",$I$6&lt;&gt;"Complete"),"",I606-J606)</x:f>
      </x:c>
      <x:c r="L606" s="61" t="str">
        <x:f>IF(OR(B606="",$I$6&lt;&gt;"Complete"),"",IF(K606&lt;0,1,0))</x:f>
      </x:c>
    </x:row>
    <x:row r="607" ht="23" customHeight="1">
      <x:c r="A607" s="2"/>
      <x:c r="B607" s="60" t="str">
        <x:f>IF($D$6&lt;&gt;"Complete","",IF('Inputs'!$C$47+537&lt;=$D$9,'Inputs'!$C$47+537,""))</x:f>
      </x:c>
      <x:c r="C607" s="37" t="str">
        <x:f>IF(B607="","",SUMIFS($D$14:$D$23,$C$14:$C$23,B607))</x:f>
      </x:c>
      <x:c r="D607" s="37" t="str">
        <x:f>IF(B607="","",SUMIFS($E$14:$E$23,$C$14:$C$23,B607))</x:f>
      </x:c>
      <x:c r="E607" s="37" t="str">
        <x:f>IF(B607="","",C607-D607)</x:f>
      </x:c>
      <x:c r="F607" s="37" t="str">
        <x:f>IF(B607="","",F606+E607)</x:f>
      </x:c>
      <x:c r="G607" s="37" t="str">
        <x:f>IF(OR(B607="",$I$6&lt;&gt;"Complete"),"",SUMIFS($D$32:$D$51,$C$32:$C$51,B607,$I$32:$I$51,"Ready"))</x:f>
      </x:c>
      <x:c r="H607" s="37" t="str">
        <x:f>IF(OR(B607="",$I$6&lt;&gt;"Complete"),"",SUMIFS($E$32:$E$51,$C$32:$C$51,B607,$I$32:$I$51,"Ready"))</x:f>
      </x:c>
      <x:c r="I607" s="37" t="str">
        <x:f>IF(OR(B607="",$I$6&lt;&gt;"Complete"),"",I606+E607+G607-H607)</x:f>
      </x:c>
      <x:c r="J607" s="37" t="str">
        <x:f>IF(OR(B607="",$I$6&lt;&gt;"Complete"),"",'Inputs'!$C$49)</x:f>
      </x:c>
      <x:c r="K607" s="37" t="str">
        <x:f>IF(OR(B607="",$I$6&lt;&gt;"Complete"),"",I607-J607)</x:f>
      </x:c>
      <x:c r="L607" s="61" t="str">
        <x:f>IF(OR(B607="",$I$6&lt;&gt;"Complete"),"",IF(K607&lt;0,1,0))</x:f>
      </x:c>
    </x:row>
    <x:row r="608" ht="23" customHeight="1">
      <x:c r="A608" s="2"/>
      <x:c r="B608" s="60" t="str">
        <x:f>IF($D$6&lt;&gt;"Complete","",IF('Inputs'!$C$47+538&lt;=$D$9,'Inputs'!$C$47+538,""))</x:f>
      </x:c>
      <x:c r="C608" s="37" t="str">
        <x:f>IF(B608="","",SUMIFS($D$14:$D$23,$C$14:$C$23,B608))</x:f>
      </x:c>
      <x:c r="D608" s="37" t="str">
        <x:f>IF(B608="","",SUMIFS($E$14:$E$23,$C$14:$C$23,B608))</x:f>
      </x:c>
      <x:c r="E608" s="37" t="str">
        <x:f>IF(B608="","",C608-D608)</x:f>
      </x:c>
      <x:c r="F608" s="37" t="str">
        <x:f>IF(B608="","",F607+E608)</x:f>
      </x:c>
      <x:c r="G608" s="37" t="str">
        <x:f>IF(OR(B608="",$I$6&lt;&gt;"Complete"),"",SUMIFS($D$32:$D$51,$C$32:$C$51,B608,$I$32:$I$51,"Ready"))</x:f>
      </x:c>
      <x:c r="H608" s="37" t="str">
        <x:f>IF(OR(B608="",$I$6&lt;&gt;"Complete"),"",SUMIFS($E$32:$E$51,$C$32:$C$51,B608,$I$32:$I$51,"Ready"))</x:f>
      </x:c>
      <x:c r="I608" s="37" t="str">
        <x:f>IF(OR(B608="",$I$6&lt;&gt;"Complete"),"",I607+E608+G608-H608)</x:f>
      </x:c>
      <x:c r="J608" s="37" t="str">
        <x:f>IF(OR(B608="",$I$6&lt;&gt;"Complete"),"",'Inputs'!$C$49)</x:f>
      </x:c>
      <x:c r="K608" s="37" t="str">
        <x:f>IF(OR(B608="",$I$6&lt;&gt;"Complete"),"",I608-J608)</x:f>
      </x:c>
      <x:c r="L608" s="61" t="str">
        <x:f>IF(OR(B608="",$I$6&lt;&gt;"Complete"),"",IF(K608&lt;0,1,0))</x:f>
      </x:c>
    </x:row>
    <x:row r="609" ht="23" customHeight="1">
      <x:c r="A609" s="2"/>
      <x:c r="B609" s="60" t="str">
        <x:f>IF($D$6&lt;&gt;"Complete","",IF('Inputs'!$C$47+539&lt;=$D$9,'Inputs'!$C$47+539,""))</x:f>
      </x:c>
      <x:c r="C609" s="37" t="str">
        <x:f>IF(B609="","",SUMIFS($D$14:$D$23,$C$14:$C$23,B609))</x:f>
      </x:c>
      <x:c r="D609" s="37" t="str">
        <x:f>IF(B609="","",SUMIFS($E$14:$E$23,$C$14:$C$23,B609))</x:f>
      </x:c>
      <x:c r="E609" s="37" t="str">
        <x:f>IF(B609="","",C609-D609)</x:f>
      </x:c>
      <x:c r="F609" s="37" t="str">
        <x:f>IF(B609="","",F608+E609)</x:f>
      </x:c>
      <x:c r="G609" s="37" t="str">
        <x:f>IF(OR(B609="",$I$6&lt;&gt;"Complete"),"",SUMIFS($D$32:$D$51,$C$32:$C$51,B609,$I$32:$I$51,"Ready"))</x:f>
      </x:c>
      <x:c r="H609" s="37" t="str">
        <x:f>IF(OR(B609="",$I$6&lt;&gt;"Complete"),"",SUMIFS($E$32:$E$51,$C$32:$C$51,B609,$I$32:$I$51,"Ready"))</x:f>
      </x:c>
      <x:c r="I609" s="37" t="str">
        <x:f>IF(OR(B609="",$I$6&lt;&gt;"Complete"),"",I608+E609+G609-H609)</x:f>
      </x:c>
      <x:c r="J609" s="37" t="str">
        <x:f>IF(OR(B609="",$I$6&lt;&gt;"Complete"),"",'Inputs'!$C$49)</x:f>
      </x:c>
      <x:c r="K609" s="37" t="str">
        <x:f>IF(OR(B609="",$I$6&lt;&gt;"Complete"),"",I609-J609)</x:f>
      </x:c>
      <x:c r="L609" s="61" t="str">
        <x:f>IF(OR(B609="",$I$6&lt;&gt;"Complete"),"",IF(K609&lt;0,1,0))</x:f>
      </x:c>
    </x:row>
    <x:row r="610" ht="23" customHeight="1">
      <x:c r="A610" s="2"/>
      <x:c r="B610" s="60" t="str">
        <x:f>IF($D$6&lt;&gt;"Complete","",IF('Inputs'!$C$47+540&lt;=$D$9,'Inputs'!$C$47+540,""))</x:f>
      </x:c>
      <x:c r="C610" s="37" t="str">
        <x:f>IF(B610="","",SUMIFS($D$14:$D$23,$C$14:$C$23,B610))</x:f>
      </x:c>
      <x:c r="D610" s="37" t="str">
        <x:f>IF(B610="","",SUMIFS($E$14:$E$23,$C$14:$C$23,B610))</x:f>
      </x:c>
      <x:c r="E610" s="37" t="str">
        <x:f>IF(B610="","",C610-D610)</x:f>
      </x:c>
      <x:c r="F610" s="37" t="str">
        <x:f>IF(B610="","",F609+E610)</x:f>
      </x:c>
      <x:c r="G610" s="37" t="str">
        <x:f>IF(OR(B610="",$I$6&lt;&gt;"Complete"),"",SUMIFS($D$32:$D$51,$C$32:$C$51,B610,$I$32:$I$51,"Ready"))</x:f>
      </x:c>
      <x:c r="H610" s="37" t="str">
        <x:f>IF(OR(B610="",$I$6&lt;&gt;"Complete"),"",SUMIFS($E$32:$E$51,$C$32:$C$51,B610,$I$32:$I$51,"Ready"))</x:f>
      </x:c>
      <x:c r="I610" s="37" t="str">
        <x:f>IF(OR(B610="",$I$6&lt;&gt;"Complete"),"",I609+E610+G610-H610)</x:f>
      </x:c>
      <x:c r="J610" s="37" t="str">
        <x:f>IF(OR(B610="",$I$6&lt;&gt;"Complete"),"",'Inputs'!$C$49)</x:f>
      </x:c>
      <x:c r="K610" s="37" t="str">
        <x:f>IF(OR(B610="",$I$6&lt;&gt;"Complete"),"",I610-J610)</x:f>
      </x:c>
      <x:c r="L610" s="61" t="str">
        <x:f>IF(OR(B610="",$I$6&lt;&gt;"Complete"),"",IF(K610&lt;0,1,0))</x:f>
      </x:c>
    </x:row>
    <x:row r="611" ht="23" customHeight="1">
      <x:c r="A611" s="2"/>
      <x:c r="B611" s="60" t="str">
        <x:f>IF($D$6&lt;&gt;"Complete","",IF('Inputs'!$C$47+541&lt;=$D$9,'Inputs'!$C$47+541,""))</x:f>
      </x:c>
      <x:c r="C611" s="37" t="str">
        <x:f>IF(B611="","",SUMIFS($D$14:$D$23,$C$14:$C$23,B611))</x:f>
      </x:c>
      <x:c r="D611" s="37" t="str">
        <x:f>IF(B611="","",SUMIFS($E$14:$E$23,$C$14:$C$23,B611))</x:f>
      </x:c>
      <x:c r="E611" s="37" t="str">
        <x:f>IF(B611="","",C611-D611)</x:f>
      </x:c>
      <x:c r="F611" s="37" t="str">
        <x:f>IF(B611="","",F610+E611)</x:f>
      </x:c>
      <x:c r="G611" s="37" t="str">
        <x:f>IF(OR(B611="",$I$6&lt;&gt;"Complete"),"",SUMIFS($D$32:$D$51,$C$32:$C$51,B611,$I$32:$I$51,"Ready"))</x:f>
      </x:c>
      <x:c r="H611" s="37" t="str">
        <x:f>IF(OR(B611="",$I$6&lt;&gt;"Complete"),"",SUMIFS($E$32:$E$51,$C$32:$C$51,B611,$I$32:$I$51,"Ready"))</x:f>
      </x:c>
      <x:c r="I611" s="37" t="str">
        <x:f>IF(OR(B611="",$I$6&lt;&gt;"Complete"),"",I610+E611+G611-H611)</x:f>
      </x:c>
      <x:c r="J611" s="37" t="str">
        <x:f>IF(OR(B611="",$I$6&lt;&gt;"Complete"),"",'Inputs'!$C$49)</x:f>
      </x:c>
      <x:c r="K611" s="37" t="str">
        <x:f>IF(OR(B611="",$I$6&lt;&gt;"Complete"),"",I611-J611)</x:f>
      </x:c>
      <x:c r="L611" s="61" t="str">
        <x:f>IF(OR(B611="",$I$6&lt;&gt;"Complete"),"",IF(K611&lt;0,1,0))</x:f>
      </x:c>
    </x:row>
    <x:row r="612" ht="23" customHeight="1">
      <x:c r="A612" s="2"/>
      <x:c r="B612" s="60" t="str">
        <x:f>IF($D$6&lt;&gt;"Complete","",IF('Inputs'!$C$47+542&lt;=$D$9,'Inputs'!$C$47+542,""))</x:f>
      </x:c>
      <x:c r="C612" s="37" t="str">
        <x:f>IF(B612="","",SUMIFS($D$14:$D$23,$C$14:$C$23,B612))</x:f>
      </x:c>
      <x:c r="D612" s="37" t="str">
        <x:f>IF(B612="","",SUMIFS($E$14:$E$23,$C$14:$C$23,B612))</x:f>
      </x:c>
      <x:c r="E612" s="37" t="str">
        <x:f>IF(B612="","",C612-D612)</x:f>
      </x:c>
      <x:c r="F612" s="37" t="str">
        <x:f>IF(B612="","",F611+E612)</x:f>
      </x:c>
      <x:c r="G612" s="37" t="str">
        <x:f>IF(OR(B612="",$I$6&lt;&gt;"Complete"),"",SUMIFS($D$32:$D$51,$C$32:$C$51,B612,$I$32:$I$51,"Ready"))</x:f>
      </x:c>
      <x:c r="H612" s="37" t="str">
        <x:f>IF(OR(B612="",$I$6&lt;&gt;"Complete"),"",SUMIFS($E$32:$E$51,$C$32:$C$51,B612,$I$32:$I$51,"Ready"))</x:f>
      </x:c>
      <x:c r="I612" s="37" t="str">
        <x:f>IF(OR(B612="",$I$6&lt;&gt;"Complete"),"",I611+E612+G612-H612)</x:f>
      </x:c>
      <x:c r="J612" s="37" t="str">
        <x:f>IF(OR(B612="",$I$6&lt;&gt;"Complete"),"",'Inputs'!$C$49)</x:f>
      </x:c>
      <x:c r="K612" s="37" t="str">
        <x:f>IF(OR(B612="",$I$6&lt;&gt;"Complete"),"",I612-J612)</x:f>
      </x:c>
      <x:c r="L612" s="61" t="str">
        <x:f>IF(OR(B612="",$I$6&lt;&gt;"Complete"),"",IF(K612&lt;0,1,0))</x:f>
      </x:c>
    </x:row>
    <x:row r="613" ht="23" customHeight="1">
      <x:c r="A613" s="2"/>
      <x:c r="B613" s="60" t="str">
        <x:f>IF($D$6&lt;&gt;"Complete","",IF('Inputs'!$C$47+543&lt;=$D$9,'Inputs'!$C$47+543,""))</x:f>
      </x:c>
      <x:c r="C613" s="37" t="str">
        <x:f>IF(B613="","",SUMIFS($D$14:$D$23,$C$14:$C$23,B613))</x:f>
      </x:c>
      <x:c r="D613" s="37" t="str">
        <x:f>IF(B613="","",SUMIFS($E$14:$E$23,$C$14:$C$23,B613))</x:f>
      </x:c>
      <x:c r="E613" s="37" t="str">
        <x:f>IF(B613="","",C613-D613)</x:f>
      </x:c>
      <x:c r="F613" s="37" t="str">
        <x:f>IF(B613="","",F612+E613)</x:f>
      </x:c>
      <x:c r="G613" s="37" t="str">
        <x:f>IF(OR(B613="",$I$6&lt;&gt;"Complete"),"",SUMIFS($D$32:$D$51,$C$32:$C$51,B613,$I$32:$I$51,"Ready"))</x:f>
      </x:c>
      <x:c r="H613" s="37" t="str">
        <x:f>IF(OR(B613="",$I$6&lt;&gt;"Complete"),"",SUMIFS($E$32:$E$51,$C$32:$C$51,B613,$I$32:$I$51,"Ready"))</x:f>
      </x:c>
      <x:c r="I613" s="37" t="str">
        <x:f>IF(OR(B613="",$I$6&lt;&gt;"Complete"),"",I612+E613+G613-H613)</x:f>
      </x:c>
      <x:c r="J613" s="37" t="str">
        <x:f>IF(OR(B613="",$I$6&lt;&gt;"Complete"),"",'Inputs'!$C$49)</x:f>
      </x:c>
      <x:c r="K613" s="37" t="str">
        <x:f>IF(OR(B613="",$I$6&lt;&gt;"Complete"),"",I613-J613)</x:f>
      </x:c>
      <x:c r="L613" s="61" t="str">
        <x:f>IF(OR(B613="",$I$6&lt;&gt;"Complete"),"",IF(K613&lt;0,1,0))</x:f>
      </x:c>
    </x:row>
    <x:row r="614" ht="23" customHeight="1">
      <x:c r="A614" s="2"/>
      <x:c r="B614" s="60" t="str">
        <x:f>IF($D$6&lt;&gt;"Complete","",IF('Inputs'!$C$47+544&lt;=$D$9,'Inputs'!$C$47+544,""))</x:f>
      </x:c>
      <x:c r="C614" s="37" t="str">
        <x:f>IF(B614="","",SUMIFS($D$14:$D$23,$C$14:$C$23,B614))</x:f>
      </x:c>
      <x:c r="D614" s="37" t="str">
        <x:f>IF(B614="","",SUMIFS($E$14:$E$23,$C$14:$C$23,B614))</x:f>
      </x:c>
      <x:c r="E614" s="37" t="str">
        <x:f>IF(B614="","",C614-D614)</x:f>
      </x:c>
      <x:c r="F614" s="37" t="str">
        <x:f>IF(B614="","",F613+E614)</x:f>
      </x:c>
      <x:c r="G614" s="37" t="str">
        <x:f>IF(OR(B614="",$I$6&lt;&gt;"Complete"),"",SUMIFS($D$32:$D$51,$C$32:$C$51,B614,$I$32:$I$51,"Ready"))</x:f>
      </x:c>
      <x:c r="H614" s="37" t="str">
        <x:f>IF(OR(B614="",$I$6&lt;&gt;"Complete"),"",SUMIFS($E$32:$E$51,$C$32:$C$51,B614,$I$32:$I$51,"Ready"))</x:f>
      </x:c>
      <x:c r="I614" s="37" t="str">
        <x:f>IF(OR(B614="",$I$6&lt;&gt;"Complete"),"",I613+E614+G614-H614)</x:f>
      </x:c>
      <x:c r="J614" s="37" t="str">
        <x:f>IF(OR(B614="",$I$6&lt;&gt;"Complete"),"",'Inputs'!$C$49)</x:f>
      </x:c>
      <x:c r="K614" s="37" t="str">
        <x:f>IF(OR(B614="",$I$6&lt;&gt;"Complete"),"",I614-J614)</x:f>
      </x:c>
      <x:c r="L614" s="61" t="str">
        <x:f>IF(OR(B614="",$I$6&lt;&gt;"Complete"),"",IF(K614&lt;0,1,0))</x:f>
      </x:c>
    </x:row>
    <x:row r="615" ht="23" customHeight="1">
      <x:c r="A615" s="2"/>
      <x:c r="B615" s="60" t="str">
        <x:f>IF($D$6&lt;&gt;"Complete","",IF('Inputs'!$C$47+545&lt;=$D$9,'Inputs'!$C$47+545,""))</x:f>
      </x:c>
      <x:c r="C615" s="37" t="str">
        <x:f>IF(B615="","",SUMIFS($D$14:$D$23,$C$14:$C$23,B615))</x:f>
      </x:c>
      <x:c r="D615" s="37" t="str">
        <x:f>IF(B615="","",SUMIFS($E$14:$E$23,$C$14:$C$23,B615))</x:f>
      </x:c>
      <x:c r="E615" s="37" t="str">
        <x:f>IF(B615="","",C615-D615)</x:f>
      </x:c>
      <x:c r="F615" s="37" t="str">
        <x:f>IF(B615="","",F614+E615)</x:f>
      </x:c>
      <x:c r="G615" s="37" t="str">
        <x:f>IF(OR(B615="",$I$6&lt;&gt;"Complete"),"",SUMIFS($D$32:$D$51,$C$32:$C$51,B615,$I$32:$I$51,"Ready"))</x:f>
      </x:c>
      <x:c r="H615" s="37" t="str">
        <x:f>IF(OR(B615="",$I$6&lt;&gt;"Complete"),"",SUMIFS($E$32:$E$51,$C$32:$C$51,B615,$I$32:$I$51,"Ready"))</x:f>
      </x:c>
      <x:c r="I615" s="37" t="str">
        <x:f>IF(OR(B615="",$I$6&lt;&gt;"Complete"),"",I614+E615+G615-H615)</x:f>
      </x:c>
      <x:c r="J615" s="37" t="str">
        <x:f>IF(OR(B615="",$I$6&lt;&gt;"Complete"),"",'Inputs'!$C$49)</x:f>
      </x:c>
      <x:c r="K615" s="37" t="str">
        <x:f>IF(OR(B615="",$I$6&lt;&gt;"Complete"),"",I615-J615)</x:f>
      </x:c>
      <x:c r="L615" s="61" t="str">
        <x:f>IF(OR(B615="",$I$6&lt;&gt;"Complete"),"",IF(K615&lt;0,1,0))</x:f>
      </x:c>
    </x:row>
    <x:row r="616" ht="23" customHeight="1">
      <x:c r="A616" s="2"/>
      <x:c r="B616" s="60" t="str">
        <x:f>IF($D$6&lt;&gt;"Complete","",IF('Inputs'!$C$47+546&lt;=$D$9,'Inputs'!$C$47+546,""))</x:f>
      </x:c>
      <x:c r="C616" s="37" t="str">
        <x:f>IF(B616="","",SUMIFS($D$14:$D$23,$C$14:$C$23,B616))</x:f>
      </x:c>
      <x:c r="D616" s="37" t="str">
        <x:f>IF(B616="","",SUMIFS($E$14:$E$23,$C$14:$C$23,B616))</x:f>
      </x:c>
      <x:c r="E616" s="37" t="str">
        <x:f>IF(B616="","",C616-D616)</x:f>
      </x:c>
      <x:c r="F616" s="37" t="str">
        <x:f>IF(B616="","",F615+E616)</x:f>
      </x:c>
      <x:c r="G616" s="37" t="str">
        <x:f>IF(OR(B616="",$I$6&lt;&gt;"Complete"),"",SUMIFS($D$32:$D$51,$C$32:$C$51,B616,$I$32:$I$51,"Ready"))</x:f>
      </x:c>
      <x:c r="H616" s="37" t="str">
        <x:f>IF(OR(B616="",$I$6&lt;&gt;"Complete"),"",SUMIFS($E$32:$E$51,$C$32:$C$51,B616,$I$32:$I$51,"Ready"))</x:f>
      </x:c>
      <x:c r="I616" s="37" t="str">
        <x:f>IF(OR(B616="",$I$6&lt;&gt;"Complete"),"",I615+E616+G616-H616)</x:f>
      </x:c>
      <x:c r="J616" s="37" t="str">
        <x:f>IF(OR(B616="",$I$6&lt;&gt;"Complete"),"",'Inputs'!$C$49)</x:f>
      </x:c>
      <x:c r="K616" s="37" t="str">
        <x:f>IF(OR(B616="",$I$6&lt;&gt;"Complete"),"",I616-J616)</x:f>
      </x:c>
      <x:c r="L616" s="61" t="str">
        <x:f>IF(OR(B616="",$I$6&lt;&gt;"Complete"),"",IF(K616&lt;0,1,0))</x:f>
      </x:c>
    </x:row>
    <x:row r="617" ht="23" customHeight="1">
      <x:c r="A617" s="2"/>
      <x:c r="B617" s="60" t="str">
        <x:f>IF($D$6&lt;&gt;"Complete","",IF('Inputs'!$C$47+547&lt;=$D$9,'Inputs'!$C$47+547,""))</x:f>
      </x:c>
      <x:c r="C617" s="37" t="str">
        <x:f>IF(B617="","",SUMIFS($D$14:$D$23,$C$14:$C$23,B617))</x:f>
      </x:c>
      <x:c r="D617" s="37" t="str">
        <x:f>IF(B617="","",SUMIFS($E$14:$E$23,$C$14:$C$23,B617))</x:f>
      </x:c>
      <x:c r="E617" s="37" t="str">
        <x:f>IF(B617="","",C617-D617)</x:f>
      </x:c>
      <x:c r="F617" s="37" t="str">
        <x:f>IF(B617="","",F616+E617)</x:f>
      </x:c>
      <x:c r="G617" s="37" t="str">
        <x:f>IF(OR(B617="",$I$6&lt;&gt;"Complete"),"",SUMIFS($D$32:$D$51,$C$32:$C$51,B617,$I$32:$I$51,"Ready"))</x:f>
      </x:c>
      <x:c r="H617" s="37" t="str">
        <x:f>IF(OR(B617="",$I$6&lt;&gt;"Complete"),"",SUMIFS($E$32:$E$51,$C$32:$C$51,B617,$I$32:$I$51,"Ready"))</x:f>
      </x:c>
      <x:c r="I617" s="37" t="str">
        <x:f>IF(OR(B617="",$I$6&lt;&gt;"Complete"),"",I616+E617+G617-H617)</x:f>
      </x:c>
      <x:c r="J617" s="37" t="str">
        <x:f>IF(OR(B617="",$I$6&lt;&gt;"Complete"),"",'Inputs'!$C$49)</x:f>
      </x:c>
      <x:c r="K617" s="37" t="str">
        <x:f>IF(OR(B617="",$I$6&lt;&gt;"Complete"),"",I617-J617)</x:f>
      </x:c>
      <x:c r="L617" s="61" t="str">
        <x:f>IF(OR(B617="",$I$6&lt;&gt;"Complete"),"",IF(K617&lt;0,1,0))</x:f>
      </x:c>
    </x:row>
    <x:row r="618" ht="23" customHeight="1">
      <x:c r="A618" s="2"/>
      <x:c r="B618" s="60" t="str">
        <x:f>IF($D$6&lt;&gt;"Complete","",IF('Inputs'!$C$47+548&lt;=$D$9,'Inputs'!$C$47+548,""))</x:f>
      </x:c>
      <x:c r="C618" s="37" t="str">
        <x:f>IF(B618="","",SUMIFS($D$14:$D$23,$C$14:$C$23,B618))</x:f>
      </x:c>
      <x:c r="D618" s="37" t="str">
        <x:f>IF(B618="","",SUMIFS($E$14:$E$23,$C$14:$C$23,B618))</x:f>
      </x:c>
      <x:c r="E618" s="37" t="str">
        <x:f>IF(B618="","",C618-D618)</x:f>
      </x:c>
      <x:c r="F618" s="37" t="str">
        <x:f>IF(B618="","",F617+E618)</x:f>
      </x:c>
      <x:c r="G618" s="37" t="str">
        <x:f>IF(OR(B618="",$I$6&lt;&gt;"Complete"),"",SUMIFS($D$32:$D$51,$C$32:$C$51,B618,$I$32:$I$51,"Ready"))</x:f>
      </x:c>
      <x:c r="H618" s="37" t="str">
        <x:f>IF(OR(B618="",$I$6&lt;&gt;"Complete"),"",SUMIFS($E$32:$E$51,$C$32:$C$51,B618,$I$32:$I$51,"Ready"))</x:f>
      </x:c>
      <x:c r="I618" s="37" t="str">
        <x:f>IF(OR(B618="",$I$6&lt;&gt;"Complete"),"",I617+E618+G618-H618)</x:f>
      </x:c>
      <x:c r="J618" s="37" t="str">
        <x:f>IF(OR(B618="",$I$6&lt;&gt;"Complete"),"",'Inputs'!$C$49)</x:f>
      </x:c>
      <x:c r="K618" s="37" t="str">
        <x:f>IF(OR(B618="",$I$6&lt;&gt;"Complete"),"",I618-J618)</x:f>
      </x:c>
      <x:c r="L618" s="61" t="str">
        <x:f>IF(OR(B618="",$I$6&lt;&gt;"Complete"),"",IF(K618&lt;0,1,0))</x:f>
      </x:c>
    </x:row>
    <x:row r="619" ht="23" customHeight="1">
      <x:c r="A619" s="2"/>
      <x:c r="B619" s="60" t="str">
        <x:f>IF($D$6&lt;&gt;"Complete","",IF('Inputs'!$C$47+549&lt;=$D$9,'Inputs'!$C$47+549,""))</x:f>
      </x:c>
      <x:c r="C619" s="37" t="str">
        <x:f>IF(B619="","",SUMIFS($D$14:$D$23,$C$14:$C$23,B619))</x:f>
      </x:c>
      <x:c r="D619" s="37" t="str">
        <x:f>IF(B619="","",SUMIFS($E$14:$E$23,$C$14:$C$23,B619))</x:f>
      </x:c>
      <x:c r="E619" s="37" t="str">
        <x:f>IF(B619="","",C619-D619)</x:f>
      </x:c>
      <x:c r="F619" s="37" t="str">
        <x:f>IF(B619="","",F618+E619)</x:f>
      </x:c>
      <x:c r="G619" s="37" t="str">
        <x:f>IF(OR(B619="",$I$6&lt;&gt;"Complete"),"",SUMIFS($D$32:$D$51,$C$32:$C$51,B619,$I$32:$I$51,"Ready"))</x:f>
      </x:c>
      <x:c r="H619" s="37" t="str">
        <x:f>IF(OR(B619="",$I$6&lt;&gt;"Complete"),"",SUMIFS($E$32:$E$51,$C$32:$C$51,B619,$I$32:$I$51,"Ready"))</x:f>
      </x:c>
      <x:c r="I619" s="37" t="str">
        <x:f>IF(OR(B619="",$I$6&lt;&gt;"Complete"),"",I618+E619+G619-H619)</x:f>
      </x:c>
      <x:c r="J619" s="37" t="str">
        <x:f>IF(OR(B619="",$I$6&lt;&gt;"Complete"),"",'Inputs'!$C$49)</x:f>
      </x:c>
      <x:c r="K619" s="37" t="str">
        <x:f>IF(OR(B619="",$I$6&lt;&gt;"Complete"),"",I619-J619)</x:f>
      </x:c>
      <x:c r="L619" s="61" t="str">
        <x:f>IF(OR(B619="",$I$6&lt;&gt;"Complete"),"",IF(K619&lt;0,1,0))</x:f>
      </x:c>
    </x:row>
    <x:row r="620" ht="23" customHeight="1">
      <x:c r="A620" s="2"/>
      <x:c r="B620" s="60" t="str">
        <x:f>IF($D$6&lt;&gt;"Complete","",IF('Inputs'!$C$47+550&lt;=$D$9,'Inputs'!$C$47+550,""))</x:f>
      </x:c>
      <x:c r="C620" s="37" t="str">
        <x:f>IF(B620="","",SUMIFS($D$14:$D$23,$C$14:$C$23,B620))</x:f>
      </x:c>
      <x:c r="D620" s="37" t="str">
        <x:f>IF(B620="","",SUMIFS($E$14:$E$23,$C$14:$C$23,B620))</x:f>
      </x:c>
      <x:c r="E620" s="37" t="str">
        <x:f>IF(B620="","",C620-D620)</x:f>
      </x:c>
      <x:c r="F620" s="37" t="str">
        <x:f>IF(B620="","",F619+E620)</x:f>
      </x:c>
      <x:c r="G620" s="37" t="str">
        <x:f>IF(OR(B620="",$I$6&lt;&gt;"Complete"),"",SUMIFS($D$32:$D$51,$C$32:$C$51,B620,$I$32:$I$51,"Ready"))</x:f>
      </x:c>
      <x:c r="H620" s="37" t="str">
        <x:f>IF(OR(B620="",$I$6&lt;&gt;"Complete"),"",SUMIFS($E$32:$E$51,$C$32:$C$51,B620,$I$32:$I$51,"Ready"))</x:f>
      </x:c>
      <x:c r="I620" s="37" t="str">
        <x:f>IF(OR(B620="",$I$6&lt;&gt;"Complete"),"",I619+E620+G620-H620)</x:f>
      </x:c>
      <x:c r="J620" s="37" t="str">
        <x:f>IF(OR(B620="",$I$6&lt;&gt;"Complete"),"",'Inputs'!$C$49)</x:f>
      </x:c>
      <x:c r="K620" s="37" t="str">
        <x:f>IF(OR(B620="",$I$6&lt;&gt;"Complete"),"",I620-J620)</x:f>
      </x:c>
      <x:c r="L620" s="61" t="str">
        <x:f>IF(OR(B620="",$I$6&lt;&gt;"Complete"),"",IF(K620&lt;0,1,0))</x:f>
      </x:c>
    </x:row>
    <x:row r="621" ht="23" customHeight="1">
      <x:c r="A621" s="2"/>
      <x:c r="B621" s="60" t="str">
        <x:f>IF($D$6&lt;&gt;"Complete","",IF('Inputs'!$C$47+551&lt;=$D$9,'Inputs'!$C$47+551,""))</x:f>
      </x:c>
      <x:c r="C621" s="37" t="str">
        <x:f>IF(B621="","",SUMIFS($D$14:$D$23,$C$14:$C$23,B621))</x:f>
      </x:c>
      <x:c r="D621" s="37" t="str">
        <x:f>IF(B621="","",SUMIFS($E$14:$E$23,$C$14:$C$23,B621))</x:f>
      </x:c>
      <x:c r="E621" s="37" t="str">
        <x:f>IF(B621="","",C621-D621)</x:f>
      </x:c>
      <x:c r="F621" s="37" t="str">
        <x:f>IF(B621="","",F620+E621)</x:f>
      </x:c>
      <x:c r="G621" s="37" t="str">
        <x:f>IF(OR(B621="",$I$6&lt;&gt;"Complete"),"",SUMIFS($D$32:$D$51,$C$32:$C$51,B621,$I$32:$I$51,"Ready"))</x:f>
      </x:c>
      <x:c r="H621" s="37" t="str">
        <x:f>IF(OR(B621="",$I$6&lt;&gt;"Complete"),"",SUMIFS($E$32:$E$51,$C$32:$C$51,B621,$I$32:$I$51,"Ready"))</x:f>
      </x:c>
      <x:c r="I621" s="37" t="str">
        <x:f>IF(OR(B621="",$I$6&lt;&gt;"Complete"),"",I620+E621+G621-H621)</x:f>
      </x:c>
      <x:c r="J621" s="37" t="str">
        <x:f>IF(OR(B621="",$I$6&lt;&gt;"Complete"),"",'Inputs'!$C$49)</x:f>
      </x:c>
      <x:c r="K621" s="37" t="str">
        <x:f>IF(OR(B621="",$I$6&lt;&gt;"Complete"),"",I621-J621)</x:f>
      </x:c>
      <x:c r="L621" s="61" t="str">
        <x:f>IF(OR(B621="",$I$6&lt;&gt;"Complete"),"",IF(K621&lt;0,1,0))</x:f>
      </x:c>
    </x:row>
    <x:row r="622" ht="23" customHeight="1">
      <x:c r="A622" s="2"/>
      <x:c r="B622" s="60" t="str">
        <x:f>IF($D$6&lt;&gt;"Complete","",IF('Inputs'!$C$47+552&lt;=$D$9,'Inputs'!$C$47+552,""))</x:f>
      </x:c>
      <x:c r="C622" s="37" t="str">
        <x:f>IF(B622="","",SUMIFS($D$14:$D$23,$C$14:$C$23,B622))</x:f>
      </x:c>
      <x:c r="D622" s="37" t="str">
        <x:f>IF(B622="","",SUMIFS($E$14:$E$23,$C$14:$C$23,B622))</x:f>
      </x:c>
      <x:c r="E622" s="37" t="str">
        <x:f>IF(B622="","",C622-D622)</x:f>
      </x:c>
      <x:c r="F622" s="37" t="str">
        <x:f>IF(B622="","",F621+E622)</x:f>
      </x:c>
      <x:c r="G622" s="37" t="str">
        <x:f>IF(OR(B622="",$I$6&lt;&gt;"Complete"),"",SUMIFS($D$32:$D$51,$C$32:$C$51,B622,$I$32:$I$51,"Ready"))</x:f>
      </x:c>
      <x:c r="H622" s="37" t="str">
        <x:f>IF(OR(B622="",$I$6&lt;&gt;"Complete"),"",SUMIFS($E$32:$E$51,$C$32:$C$51,B622,$I$32:$I$51,"Ready"))</x:f>
      </x:c>
      <x:c r="I622" s="37" t="str">
        <x:f>IF(OR(B622="",$I$6&lt;&gt;"Complete"),"",I621+E622+G622-H622)</x:f>
      </x:c>
      <x:c r="J622" s="37" t="str">
        <x:f>IF(OR(B622="",$I$6&lt;&gt;"Complete"),"",'Inputs'!$C$49)</x:f>
      </x:c>
      <x:c r="K622" s="37" t="str">
        <x:f>IF(OR(B622="",$I$6&lt;&gt;"Complete"),"",I622-J622)</x:f>
      </x:c>
      <x:c r="L622" s="61" t="str">
        <x:f>IF(OR(B622="",$I$6&lt;&gt;"Complete"),"",IF(K622&lt;0,1,0))</x:f>
      </x:c>
    </x:row>
    <x:row r="623" ht="23" customHeight="1">
      <x:c r="A623" s="2"/>
      <x:c r="B623" s="60" t="str">
        <x:f>IF($D$6&lt;&gt;"Complete","",IF('Inputs'!$C$47+553&lt;=$D$9,'Inputs'!$C$47+553,""))</x:f>
      </x:c>
      <x:c r="C623" s="37" t="str">
        <x:f>IF(B623="","",SUMIFS($D$14:$D$23,$C$14:$C$23,B623))</x:f>
      </x:c>
      <x:c r="D623" s="37" t="str">
        <x:f>IF(B623="","",SUMIFS($E$14:$E$23,$C$14:$C$23,B623))</x:f>
      </x:c>
      <x:c r="E623" s="37" t="str">
        <x:f>IF(B623="","",C623-D623)</x:f>
      </x:c>
      <x:c r="F623" s="37" t="str">
        <x:f>IF(B623="","",F622+E623)</x:f>
      </x:c>
      <x:c r="G623" s="37" t="str">
        <x:f>IF(OR(B623="",$I$6&lt;&gt;"Complete"),"",SUMIFS($D$32:$D$51,$C$32:$C$51,B623,$I$32:$I$51,"Ready"))</x:f>
      </x:c>
      <x:c r="H623" s="37" t="str">
        <x:f>IF(OR(B623="",$I$6&lt;&gt;"Complete"),"",SUMIFS($E$32:$E$51,$C$32:$C$51,B623,$I$32:$I$51,"Ready"))</x:f>
      </x:c>
      <x:c r="I623" s="37" t="str">
        <x:f>IF(OR(B623="",$I$6&lt;&gt;"Complete"),"",I622+E623+G623-H623)</x:f>
      </x:c>
      <x:c r="J623" s="37" t="str">
        <x:f>IF(OR(B623="",$I$6&lt;&gt;"Complete"),"",'Inputs'!$C$49)</x:f>
      </x:c>
      <x:c r="K623" s="37" t="str">
        <x:f>IF(OR(B623="",$I$6&lt;&gt;"Complete"),"",I623-J623)</x:f>
      </x:c>
      <x:c r="L623" s="61" t="str">
        <x:f>IF(OR(B623="",$I$6&lt;&gt;"Complete"),"",IF(K623&lt;0,1,0))</x:f>
      </x:c>
    </x:row>
    <x:row r="624" ht="23" customHeight="1">
      <x:c r="A624" s="2"/>
      <x:c r="B624" s="60" t="str">
        <x:f>IF($D$6&lt;&gt;"Complete","",IF('Inputs'!$C$47+554&lt;=$D$9,'Inputs'!$C$47+554,""))</x:f>
      </x:c>
      <x:c r="C624" s="37" t="str">
        <x:f>IF(B624="","",SUMIFS($D$14:$D$23,$C$14:$C$23,B624))</x:f>
      </x:c>
      <x:c r="D624" s="37" t="str">
        <x:f>IF(B624="","",SUMIFS($E$14:$E$23,$C$14:$C$23,B624))</x:f>
      </x:c>
      <x:c r="E624" s="37" t="str">
        <x:f>IF(B624="","",C624-D624)</x:f>
      </x:c>
      <x:c r="F624" s="37" t="str">
        <x:f>IF(B624="","",F623+E624)</x:f>
      </x:c>
      <x:c r="G624" s="37" t="str">
        <x:f>IF(OR(B624="",$I$6&lt;&gt;"Complete"),"",SUMIFS($D$32:$D$51,$C$32:$C$51,B624,$I$32:$I$51,"Ready"))</x:f>
      </x:c>
      <x:c r="H624" s="37" t="str">
        <x:f>IF(OR(B624="",$I$6&lt;&gt;"Complete"),"",SUMIFS($E$32:$E$51,$C$32:$C$51,B624,$I$32:$I$51,"Ready"))</x:f>
      </x:c>
      <x:c r="I624" s="37" t="str">
        <x:f>IF(OR(B624="",$I$6&lt;&gt;"Complete"),"",I623+E624+G624-H624)</x:f>
      </x:c>
      <x:c r="J624" s="37" t="str">
        <x:f>IF(OR(B624="",$I$6&lt;&gt;"Complete"),"",'Inputs'!$C$49)</x:f>
      </x:c>
      <x:c r="K624" s="37" t="str">
        <x:f>IF(OR(B624="",$I$6&lt;&gt;"Complete"),"",I624-J624)</x:f>
      </x:c>
      <x:c r="L624" s="61" t="str">
        <x:f>IF(OR(B624="",$I$6&lt;&gt;"Complete"),"",IF(K624&lt;0,1,0))</x:f>
      </x:c>
    </x:row>
    <x:row r="625" ht="23" customHeight="1">
      <x:c r="A625" s="2"/>
      <x:c r="B625" s="60" t="str">
        <x:f>IF($D$6&lt;&gt;"Complete","",IF('Inputs'!$C$47+555&lt;=$D$9,'Inputs'!$C$47+555,""))</x:f>
      </x:c>
      <x:c r="C625" s="37" t="str">
        <x:f>IF(B625="","",SUMIFS($D$14:$D$23,$C$14:$C$23,B625))</x:f>
      </x:c>
      <x:c r="D625" s="37" t="str">
        <x:f>IF(B625="","",SUMIFS($E$14:$E$23,$C$14:$C$23,B625))</x:f>
      </x:c>
      <x:c r="E625" s="37" t="str">
        <x:f>IF(B625="","",C625-D625)</x:f>
      </x:c>
      <x:c r="F625" s="37" t="str">
        <x:f>IF(B625="","",F624+E625)</x:f>
      </x:c>
      <x:c r="G625" s="37" t="str">
        <x:f>IF(OR(B625="",$I$6&lt;&gt;"Complete"),"",SUMIFS($D$32:$D$51,$C$32:$C$51,B625,$I$32:$I$51,"Ready"))</x:f>
      </x:c>
      <x:c r="H625" s="37" t="str">
        <x:f>IF(OR(B625="",$I$6&lt;&gt;"Complete"),"",SUMIFS($E$32:$E$51,$C$32:$C$51,B625,$I$32:$I$51,"Ready"))</x:f>
      </x:c>
      <x:c r="I625" s="37" t="str">
        <x:f>IF(OR(B625="",$I$6&lt;&gt;"Complete"),"",I624+E625+G625-H625)</x:f>
      </x:c>
      <x:c r="J625" s="37" t="str">
        <x:f>IF(OR(B625="",$I$6&lt;&gt;"Complete"),"",'Inputs'!$C$49)</x:f>
      </x:c>
      <x:c r="K625" s="37" t="str">
        <x:f>IF(OR(B625="",$I$6&lt;&gt;"Complete"),"",I625-J625)</x:f>
      </x:c>
      <x:c r="L625" s="61" t="str">
        <x:f>IF(OR(B625="",$I$6&lt;&gt;"Complete"),"",IF(K625&lt;0,1,0))</x:f>
      </x:c>
    </x:row>
    <x:row r="626" ht="23" customHeight="1">
      <x:c r="A626" s="2"/>
      <x:c r="B626" s="60" t="str">
        <x:f>IF($D$6&lt;&gt;"Complete","",IF('Inputs'!$C$47+556&lt;=$D$9,'Inputs'!$C$47+556,""))</x:f>
      </x:c>
      <x:c r="C626" s="37" t="str">
        <x:f>IF(B626="","",SUMIFS($D$14:$D$23,$C$14:$C$23,B626))</x:f>
      </x:c>
      <x:c r="D626" s="37" t="str">
        <x:f>IF(B626="","",SUMIFS($E$14:$E$23,$C$14:$C$23,B626))</x:f>
      </x:c>
      <x:c r="E626" s="37" t="str">
        <x:f>IF(B626="","",C626-D626)</x:f>
      </x:c>
      <x:c r="F626" s="37" t="str">
        <x:f>IF(B626="","",F625+E626)</x:f>
      </x:c>
      <x:c r="G626" s="37" t="str">
        <x:f>IF(OR(B626="",$I$6&lt;&gt;"Complete"),"",SUMIFS($D$32:$D$51,$C$32:$C$51,B626,$I$32:$I$51,"Ready"))</x:f>
      </x:c>
      <x:c r="H626" s="37" t="str">
        <x:f>IF(OR(B626="",$I$6&lt;&gt;"Complete"),"",SUMIFS($E$32:$E$51,$C$32:$C$51,B626,$I$32:$I$51,"Ready"))</x:f>
      </x:c>
      <x:c r="I626" s="37" t="str">
        <x:f>IF(OR(B626="",$I$6&lt;&gt;"Complete"),"",I625+E626+G626-H626)</x:f>
      </x:c>
      <x:c r="J626" s="37" t="str">
        <x:f>IF(OR(B626="",$I$6&lt;&gt;"Complete"),"",'Inputs'!$C$49)</x:f>
      </x:c>
      <x:c r="K626" s="37" t="str">
        <x:f>IF(OR(B626="",$I$6&lt;&gt;"Complete"),"",I626-J626)</x:f>
      </x:c>
      <x:c r="L626" s="61" t="str">
        <x:f>IF(OR(B626="",$I$6&lt;&gt;"Complete"),"",IF(K626&lt;0,1,0))</x:f>
      </x:c>
    </x:row>
    <x:row r="627" ht="23" customHeight="1">
      <x:c r="A627" s="2"/>
      <x:c r="B627" s="60" t="str">
        <x:f>IF($D$6&lt;&gt;"Complete","",IF('Inputs'!$C$47+557&lt;=$D$9,'Inputs'!$C$47+557,""))</x:f>
      </x:c>
      <x:c r="C627" s="37" t="str">
        <x:f>IF(B627="","",SUMIFS($D$14:$D$23,$C$14:$C$23,B627))</x:f>
      </x:c>
      <x:c r="D627" s="37" t="str">
        <x:f>IF(B627="","",SUMIFS($E$14:$E$23,$C$14:$C$23,B627))</x:f>
      </x:c>
      <x:c r="E627" s="37" t="str">
        <x:f>IF(B627="","",C627-D627)</x:f>
      </x:c>
      <x:c r="F627" s="37" t="str">
        <x:f>IF(B627="","",F626+E627)</x:f>
      </x:c>
      <x:c r="G627" s="37" t="str">
        <x:f>IF(OR(B627="",$I$6&lt;&gt;"Complete"),"",SUMIFS($D$32:$D$51,$C$32:$C$51,B627,$I$32:$I$51,"Ready"))</x:f>
      </x:c>
      <x:c r="H627" s="37" t="str">
        <x:f>IF(OR(B627="",$I$6&lt;&gt;"Complete"),"",SUMIFS($E$32:$E$51,$C$32:$C$51,B627,$I$32:$I$51,"Ready"))</x:f>
      </x:c>
      <x:c r="I627" s="37" t="str">
        <x:f>IF(OR(B627="",$I$6&lt;&gt;"Complete"),"",I626+E627+G627-H627)</x:f>
      </x:c>
      <x:c r="J627" s="37" t="str">
        <x:f>IF(OR(B627="",$I$6&lt;&gt;"Complete"),"",'Inputs'!$C$49)</x:f>
      </x:c>
      <x:c r="K627" s="37" t="str">
        <x:f>IF(OR(B627="",$I$6&lt;&gt;"Complete"),"",I627-J627)</x:f>
      </x:c>
      <x:c r="L627" s="61" t="str">
        <x:f>IF(OR(B627="",$I$6&lt;&gt;"Complete"),"",IF(K627&lt;0,1,0))</x:f>
      </x:c>
    </x:row>
    <x:row r="628" ht="23" customHeight="1">
      <x:c r="A628" s="2"/>
      <x:c r="B628" s="60" t="str">
        <x:f>IF($D$6&lt;&gt;"Complete","",IF('Inputs'!$C$47+558&lt;=$D$9,'Inputs'!$C$47+558,""))</x:f>
      </x:c>
      <x:c r="C628" s="37" t="str">
        <x:f>IF(B628="","",SUMIFS($D$14:$D$23,$C$14:$C$23,B628))</x:f>
      </x:c>
      <x:c r="D628" s="37" t="str">
        <x:f>IF(B628="","",SUMIFS($E$14:$E$23,$C$14:$C$23,B628))</x:f>
      </x:c>
      <x:c r="E628" s="37" t="str">
        <x:f>IF(B628="","",C628-D628)</x:f>
      </x:c>
      <x:c r="F628" s="37" t="str">
        <x:f>IF(B628="","",F627+E628)</x:f>
      </x:c>
      <x:c r="G628" s="37" t="str">
        <x:f>IF(OR(B628="",$I$6&lt;&gt;"Complete"),"",SUMIFS($D$32:$D$51,$C$32:$C$51,B628,$I$32:$I$51,"Ready"))</x:f>
      </x:c>
      <x:c r="H628" s="37" t="str">
        <x:f>IF(OR(B628="",$I$6&lt;&gt;"Complete"),"",SUMIFS($E$32:$E$51,$C$32:$C$51,B628,$I$32:$I$51,"Ready"))</x:f>
      </x:c>
      <x:c r="I628" s="37" t="str">
        <x:f>IF(OR(B628="",$I$6&lt;&gt;"Complete"),"",I627+E628+G628-H628)</x:f>
      </x:c>
      <x:c r="J628" s="37" t="str">
        <x:f>IF(OR(B628="",$I$6&lt;&gt;"Complete"),"",'Inputs'!$C$49)</x:f>
      </x:c>
      <x:c r="K628" s="37" t="str">
        <x:f>IF(OR(B628="",$I$6&lt;&gt;"Complete"),"",I628-J628)</x:f>
      </x:c>
      <x:c r="L628" s="61" t="str">
        <x:f>IF(OR(B628="",$I$6&lt;&gt;"Complete"),"",IF(K628&lt;0,1,0))</x:f>
      </x:c>
    </x:row>
    <x:row r="629" ht="23" customHeight="1">
      <x:c r="A629" s="2"/>
      <x:c r="B629" s="60" t="str">
        <x:f>IF($D$6&lt;&gt;"Complete","",IF('Inputs'!$C$47+559&lt;=$D$9,'Inputs'!$C$47+559,""))</x:f>
      </x:c>
      <x:c r="C629" s="37" t="str">
        <x:f>IF(B629="","",SUMIFS($D$14:$D$23,$C$14:$C$23,B629))</x:f>
      </x:c>
      <x:c r="D629" s="37" t="str">
        <x:f>IF(B629="","",SUMIFS($E$14:$E$23,$C$14:$C$23,B629))</x:f>
      </x:c>
      <x:c r="E629" s="37" t="str">
        <x:f>IF(B629="","",C629-D629)</x:f>
      </x:c>
      <x:c r="F629" s="37" t="str">
        <x:f>IF(B629="","",F628+E629)</x:f>
      </x:c>
      <x:c r="G629" s="37" t="str">
        <x:f>IF(OR(B629="",$I$6&lt;&gt;"Complete"),"",SUMIFS($D$32:$D$51,$C$32:$C$51,B629,$I$32:$I$51,"Ready"))</x:f>
      </x:c>
      <x:c r="H629" s="37" t="str">
        <x:f>IF(OR(B629="",$I$6&lt;&gt;"Complete"),"",SUMIFS($E$32:$E$51,$C$32:$C$51,B629,$I$32:$I$51,"Ready"))</x:f>
      </x:c>
      <x:c r="I629" s="37" t="str">
        <x:f>IF(OR(B629="",$I$6&lt;&gt;"Complete"),"",I628+E629+G629-H629)</x:f>
      </x:c>
      <x:c r="J629" s="37" t="str">
        <x:f>IF(OR(B629="",$I$6&lt;&gt;"Complete"),"",'Inputs'!$C$49)</x:f>
      </x:c>
      <x:c r="K629" s="37" t="str">
        <x:f>IF(OR(B629="",$I$6&lt;&gt;"Complete"),"",I629-J629)</x:f>
      </x:c>
      <x:c r="L629" s="61" t="str">
        <x:f>IF(OR(B629="",$I$6&lt;&gt;"Complete"),"",IF(K629&lt;0,1,0))</x:f>
      </x:c>
    </x:row>
    <x:row r="630" ht="23" customHeight="1">
      <x:c r="A630" s="2"/>
      <x:c r="B630" s="60" t="str">
        <x:f>IF($D$6&lt;&gt;"Complete","",IF('Inputs'!$C$47+560&lt;=$D$9,'Inputs'!$C$47+560,""))</x:f>
      </x:c>
      <x:c r="C630" s="37" t="str">
        <x:f>IF(B630="","",SUMIFS($D$14:$D$23,$C$14:$C$23,B630))</x:f>
      </x:c>
      <x:c r="D630" s="37" t="str">
        <x:f>IF(B630="","",SUMIFS($E$14:$E$23,$C$14:$C$23,B630))</x:f>
      </x:c>
      <x:c r="E630" s="37" t="str">
        <x:f>IF(B630="","",C630-D630)</x:f>
      </x:c>
      <x:c r="F630" s="37" t="str">
        <x:f>IF(B630="","",F629+E630)</x:f>
      </x:c>
      <x:c r="G630" s="37" t="str">
        <x:f>IF(OR(B630="",$I$6&lt;&gt;"Complete"),"",SUMIFS($D$32:$D$51,$C$32:$C$51,B630,$I$32:$I$51,"Ready"))</x:f>
      </x:c>
      <x:c r="H630" s="37" t="str">
        <x:f>IF(OR(B630="",$I$6&lt;&gt;"Complete"),"",SUMIFS($E$32:$E$51,$C$32:$C$51,B630,$I$32:$I$51,"Ready"))</x:f>
      </x:c>
      <x:c r="I630" s="37" t="str">
        <x:f>IF(OR(B630="",$I$6&lt;&gt;"Complete"),"",I629+E630+G630-H630)</x:f>
      </x:c>
      <x:c r="J630" s="37" t="str">
        <x:f>IF(OR(B630="",$I$6&lt;&gt;"Complete"),"",'Inputs'!$C$49)</x:f>
      </x:c>
      <x:c r="K630" s="37" t="str">
        <x:f>IF(OR(B630="",$I$6&lt;&gt;"Complete"),"",I630-J630)</x:f>
      </x:c>
      <x:c r="L630" s="61" t="str">
        <x:f>IF(OR(B630="",$I$6&lt;&gt;"Complete"),"",IF(K630&lt;0,1,0))</x:f>
      </x:c>
    </x:row>
    <x:row r="631" ht="23" customHeight="1">
      <x:c r="A631" s="2"/>
      <x:c r="B631" s="60" t="str">
        <x:f>IF($D$6&lt;&gt;"Complete","",IF('Inputs'!$C$47+561&lt;=$D$9,'Inputs'!$C$47+561,""))</x:f>
      </x:c>
      <x:c r="C631" s="37" t="str">
        <x:f>IF(B631="","",SUMIFS($D$14:$D$23,$C$14:$C$23,B631))</x:f>
      </x:c>
      <x:c r="D631" s="37" t="str">
        <x:f>IF(B631="","",SUMIFS($E$14:$E$23,$C$14:$C$23,B631))</x:f>
      </x:c>
      <x:c r="E631" s="37" t="str">
        <x:f>IF(B631="","",C631-D631)</x:f>
      </x:c>
      <x:c r="F631" s="37" t="str">
        <x:f>IF(B631="","",F630+E631)</x:f>
      </x:c>
      <x:c r="G631" s="37" t="str">
        <x:f>IF(OR(B631="",$I$6&lt;&gt;"Complete"),"",SUMIFS($D$32:$D$51,$C$32:$C$51,B631,$I$32:$I$51,"Ready"))</x:f>
      </x:c>
      <x:c r="H631" s="37" t="str">
        <x:f>IF(OR(B631="",$I$6&lt;&gt;"Complete"),"",SUMIFS($E$32:$E$51,$C$32:$C$51,B631,$I$32:$I$51,"Ready"))</x:f>
      </x:c>
      <x:c r="I631" s="37" t="str">
        <x:f>IF(OR(B631="",$I$6&lt;&gt;"Complete"),"",I630+E631+G631-H631)</x:f>
      </x:c>
      <x:c r="J631" s="37" t="str">
        <x:f>IF(OR(B631="",$I$6&lt;&gt;"Complete"),"",'Inputs'!$C$49)</x:f>
      </x:c>
      <x:c r="K631" s="37" t="str">
        <x:f>IF(OR(B631="",$I$6&lt;&gt;"Complete"),"",I631-J631)</x:f>
      </x:c>
      <x:c r="L631" s="61" t="str">
        <x:f>IF(OR(B631="",$I$6&lt;&gt;"Complete"),"",IF(K631&lt;0,1,0))</x:f>
      </x:c>
    </x:row>
    <x:row r="632" ht="23" customHeight="1">
      <x:c r="A632" s="2"/>
      <x:c r="B632" s="60" t="str">
        <x:f>IF($D$6&lt;&gt;"Complete","",IF('Inputs'!$C$47+562&lt;=$D$9,'Inputs'!$C$47+562,""))</x:f>
      </x:c>
      <x:c r="C632" s="37" t="str">
        <x:f>IF(B632="","",SUMIFS($D$14:$D$23,$C$14:$C$23,B632))</x:f>
      </x:c>
      <x:c r="D632" s="37" t="str">
        <x:f>IF(B632="","",SUMIFS($E$14:$E$23,$C$14:$C$23,B632))</x:f>
      </x:c>
      <x:c r="E632" s="37" t="str">
        <x:f>IF(B632="","",C632-D632)</x:f>
      </x:c>
      <x:c r="F632" s="37" t="str">
        <x:f>IF(B632="","",F631+E632)</x:f>
      </x:c>
      <x:c r="G632" s="37" t="str">
        <x:f>IF(OR(B632="",$I$6&lt;&gt;"Complete"),"",SUMIFS($D$32:$D$51,$C$32:$C$51,B632,$I$32:$I$51,"Ready"))</x:f>
      </x:c>
      <x:c r="H632" s="37" t="str">
        <x:f>IF(OR(B632="",$I$6&lt;&gt;"Complete"),"",SUMIFS($E$32:$E$51,$C$32:$C$51,B632,$I$32:$I$51,"Ready"))</x:f>
      </x:c>
      <x:c r="I632" s="37" t="str">
        <x:f>IF(OR(B632="",$I$6&lt;&gt;"Complete"),"",I631+E632+G632-H632)</x:f>
      </x:c>
      <x:c r="J632" s="37" t="str">
        <x:f>IF(OR(B632="",$I$6&lt;&gt;"Complete"),"",'Inputs'!$C$49)</x:f>
      </x:c>
      <x:c r="K632" s="37" t="str">
        <x:f>IF(OR(B632="",$I$6&lt;&gt;"Complete"),"",I632-J632)</x:f>
      </x:c>
      <x:c r="L632" s="61" t="str">
        <x:f>IF(OR(B632="",$I$6&lt;&gt;"Complete"),"",IF(K632&lt;0,1,0))</x:f>
      </x:c>
    </x:row>
    <x:row r="633" ht="23" customHeight="1">
      <x:c r="A633" s="2"/>
      <x:c r="B633" s="60" t="str">
        <x:f>IF($D$6&lt;&gt;"Complete","",IF('Inputs'!$C$47+563&lt;=$D$9,'Inputs'!$C$47+563,""))</x:f>
      </x:c>
      <x:c r="C633" s="37" t="str">
        <x:f>IF(B633="","",SUMIFS($D$14:$D$23,$C$14:$C$23,B633))</x:f>
      </x:c>
      <x:c r="D633" s="37" t="str">
        <x:f>IF(B633="","",SUMIFS($E$14:$E$23,$C$14:$C$23,B633))</x:f>
      </x:c>
      <x:c r="E633" s="37" t="str">
        <x:f>IF(B633="","",C633-D633)</x:f>
      </x:c>
      <x:c r="F633" s="37" t="str">
        <x:f>IF(B633="","",F632+E633)</x:f>
      </x:c>
      <x:c r="G633" s="37" t="str">
        <x:f>IF(OR(B633="",$I$6&lt;&gt;"Complete"),"",SUMIFS($D$32:$D$51,$C$32:$C$51,B633,$I$32:$I$51,"Ready"))</x:f>
      </x:c>
      <x:c r="H633" s="37" t="str">
        <x:f>IF(OR(B633="",$I$6&lt;&gt;"Complete"),"",SUMIFS($E$32:$E$51,$C$32:$C$51,B633,$I$32:$I$51,"Ready"))</x:f>
      </x:c>
      <x:c r="I633" s="37" t="str">
        <x:f>IF(OR(B633="",$I$6&lt;&gt;"Complete"),"",I632+E633+G633-H633)</x:f>
      </x:c>
      <x:c r="J633" s="37" t="str">
        <x:f>IF(OR(B633="",$I$6&lt;&gt;"Complete"),"",'Inputs'!$C$49)</x:f>
      </x:c>
      <x:c r="K633" s="37" t="str">
        <x:f>IF(OR(B633="",$I$6&lt;&gt;"Complete"),"",I633-J633)</x:f>
      </x:c>
      <x:c r="L633" s="61" t="str">
        <x:f>IF(OR(B633="",$I$6&lt;&gt;"Complete"),"",IF(K633&lt;0,1,0))</x:f>
      </x:c>
    </x:row>
    <x:row r="634" ht="23" customHeight="1">
      <x:c r="A634" s="2"/>
      <x:c r="B634" s="60" t="str">
        <x:f>IF($D$6&lt;&gt;"Complete","",IF('Inputs'!$C$47+564&lt;=$D$9,'Inputs'!$C$47+564,""))</x:f>
      </x:c>
      <x:c r="C634" s="37" t="str">
        <x:f>IF(B634="","",SUMIFS($D$14:$D$23,$C$14:$C$23,B634))</x:f>
      </x:c>
      <x:c r="D634" s="37" t="str">
        <x:f>IF(B634="","",SUMIFS($E$14:$E$23,$C$14:$C$23,B634))</x:f>
      </x:c>
      <x:c r="E634" s="37" t="str">
        <x:f>IF(B634="","",C634-D634)</x:f>
      </x:c>
      <x:c r="F634" s="37" t="str">
        <x:f>IF(B634="","",F633+E634)</x:f>
      </x:c>
      <x:c r="G634" s="37" t="str">
        <x:f>IF(OR(B634="",$I$6&lt;&gt;"Complete"),"",SUMIFS($D$32:$D$51,$C$32:$C$51,B634,$I$32:$I$51,"Ready"))</x:f>
      </x:c>
      <x:c r="H634" s="37" t="str">
        <x:f>IF(OR(B634="",$I$6&lt;&gt;"Complete"),"",SUMIFS($E$32:$E$51,$C$32:$C$51,B634,$I$32:$I$51,"Ready"))</x:f>
      </x:c>
      <x:c r="I634" s="37" t="str">
        <x:f>IF(OR(B634="",$I$6&lt;&gt;"Complete"),"",I633+E634+G634-H634)</x:f>
      </x:c>
      <x:c r="J634" s="37" t="str">
        <x:f>IF(OR(B634="",$I$6&lt;&gt;"Complete"),"",'Inputs'!$C$49)</x:f>
      </x:c>
      <x:c r="K634" s="37" t="str">
        <x:f>IF(OR(B634="",$I$6&lt;&gt;"Complete"),"",I634-J634)</x:f>
      </x:c>
      <x:c r="L634" s="61" t="str">
        <x:f>IF(OR(B634="",$I$6&lt;&gt;"Complete"),"",IF(K634&lt;0,1,0))</x:f>
      </x:c>
    </x:row>
    <x:row r="635" ht="23" customHeight="1">
      <x:c r="A635" s="2"/>
      <x:c r="B635" s="60" t="str">
        <x:f>IF($D$6&lt;&gt;"Complete","",IF('Inputs'!$C$47+565&lt;=$D$9,'Inputs'!$C$47+565,""))</x:f>
      </x:c>
      <x:c r="C635" s="37" t="str">
        <x:f>IF(B635="","",SUMIFS($D$14:$D$23,$C$14:$C$23,B635))</x:f>
      </x:c>
      <x:c r="D635" s="37" t="str">
        <x:f>IF(B635="","",SUMIFS($E$14:$E$23,$C$14:$C$23,B635))</x:f>
      </x:c>
      <x:c r="E635" s="37" t="str">
        <x:f>IF(B635="","",C635-D635)</x:f>
      </x:c>
      <x:c r="F635" s="37" t="str">
        <x:f>IF(B635="","",F634+E635)</x:f>
      </x:c>
      <x:c r="G635" s="37" t="str">
        <x:f>IF(OR(B635="",$I$6&lt;&gt;"Complete"),"",SUMIFS($D$32:$D$51,$C$32:$C$51,B635,$I$32:$I$51,"Ready"))</x:f>
      </x:c>
      <x:c r="H635" s="37" t="str">
        <x:f>IF(OR(B635="",$I$6&lt;&gt;"Complete"),"",SUMIFS($E$32:$E$51,$C$32:$C$51,B635,$I$32:$I$51,"Ready"))</x:f>
      </x:c>
      <x:c r="I635" s="37" t="str">
        <x:f>IF(OR(B635="",$I$6&lt;&gt;"Complete"),"",I634+E635+G635-H635)</x:f>
      </x:c>
      <x:c r="J635" s="37" t="str">
        <x:f>IF(OR(B635="",$I$6&lt;&gt;"Complete"),"",'Inputs'!$C$49)</x:f>
      </x:c>
      <x:c r="K635" s="37" t="str">
        <x:f>IF(OR(B635="",$I$6&lt;&gt;"Complete"),"",I635-J635)</x:f>
      </x:c>
      <x:c r="L635" s="61" t="str">
        <x:f>IF(OR(B635="",$I$6&lt;&gt;"Complete"),"",IF(K635&lt;0,1,0))</x:f>
      </x:c>
    </x:row>
    <x:row r="636" ht="23" customHeight="1">
      <x:c r="A636" s="2"/>
      <x:c r="B636" s="60" t="str">
        <x:f>IF($D$6&lt;&gt;"Complete","",IF('Inputs'!$C$47+566&lt;=$D$9,'Inputs'!$C$47+566,""))</x:f>
      </x:c>
      <x:c r="C636" s="37" t="str">
        <x:f>IF(B636="","",SUMIFS($D$14:$D$23,$C$14:$C$23,B636))</x:f>
      </x:c>
      <x:c r="D636" s="37" t="str">
        <x:f>IF(B636="","",SUMIFS($E$14:$E$23,$C$14:$C$23,B636))</x:f>
      </x:c>
      <x:c r="E636" s="37" t="str">
        <x:f>IF(B636="","",C636-D636)</x:f>
      </x:c>
      <x:c r="F636" s="37" t="str">
        <x:f>IF(B636="","",F635+E636)</x:f>
      </x:c>
      <x:c r="G636" s="37" t="str">
        <x:f>IF(OR(B636="",$I$6&lt;&gt;"Complete"),"",SUMIFS($D$32:$D$51,$C$32:$C$51,B636,$I$32:$I$51,"Ready"))</x:f>
      </x:c>
      <x:c r="H636" s="37" t="str">
        <x:f>IF(OR(B636="",$I$6&lt;&gt;"Complete"),"",SUMIFS($E$32:$E$51,$C$32:$C$51,B636,$I$32:$I$51,"Ready"))</x:f>
      </x:c>
      <x:c r="I636" s="37" t="str">
        <x:f>IF(OR(B636="",$I$6&lt;&gt;"Complete"),"",I635+E636+G636-H636)</x:f>
      </x:c>
      <x:c r="J636" s="37" t="str">
        <x:f>IF(OR(B636="",$I$6&lt;&gt;"Complete"),"",'Inputs'!$C$49)</x:f>
      </x:c>
      <x:c r="K636" s="37" t="str">
        <x:f>IF(OR(B636="",$I$6&lt;&gt;"Complete"),"",I636-J636)</x:f>
      </x:c>
      <x:c r="L636" s="61" t="str">
        <x:f>IF(OR(B636="",$I$6&lt;&gt;"Complete"),"",IF(K636&lt;0,1,0))</x:f>
      </x:c>
    </x:row>
    <x:row r="637" ht="23" customHeight="1">
      <x:c r="A637" s="2"/>
      <x:c r="B637" s="60" t="str">
        <x:f>IF($D$6&lt;&gt;"Complete","",IF('Inputs'!$C$47+567&lt;=$D$9,'Inputs'!$C$47+567,""))</x:f>
      </x:c>
      <x:c r="C637" s="37" t="str">
        <x:f>IF(B637="","",SUMIFS($D$14:$D$23,$C$14:$C$23,B637))</x:f>
      </x:c>
      <x:c r="D637" s="37" t="str">
        <x:f>IF(B637="","",SUMIFS($E$14:$E$23,$C$14:$C$23,B637))</x:f>
      </x:c>
      <x:c r="E637" s="37" t="str">
        <x:f>IF(B637="","",C637-D637)</x:f>
      </x:c>
      <x:c r="F637" s="37" t="str">
        <x:f>IF(B637="","",F636+E637)</x:f>
      </x:c>
      <x:c r="G637" s="37" t="str">
        <x:f>IF(OR(B637="",$I$6&lt;&gt;"Complete"),"",SUMIFS($D$32:$D$51,$C$32:$C$51,B637,$I$32:$I$51,"Ready"))</x:f>
      </x:c>
      <x:c r="H637" s="37" t="str">
        <x:f>IF(OR(B637="",$I$6&lt;&gt;"Complete"),"",SUMIFS($E$32:$E$51,$C$32:$C$51,B637,$I$32:$I$51,"Ready"))</x:f>
      </x:c>
      <x:c r="I637" s="37" t="str">
        <x:f>IF(OR(B637="",$I$6&lt;&gt;"Complete"),"",I636+E637+G637-H637)</x:f>
      </x:c>
      <x:c r="J637" s="37" t="str">
        <x:f>IF(OR(B637="",$I$6&lt;&gt;"Complete"),"",'Inputs'!$C$49)</x:f>
      </x:c>
      <x:c r="K637" s="37" t="str">
        <x:f>IF(OR(B637="",$I$6&lt;&gt;"Complete"),"",I637-J637)</x:f>
      </x:c>
      <x:c r="L637" s="61" t="str">
        <x:f>IF(OR(B637="",$I$6&lt;&gt;"Complete"),"",IF(K637&lt;0,1,0))</x:f>
      </x:c>
    </x:row>
    <x:row r="638" ht="23" customHeight="1">
      <x:c r="A638" s="2"/>
      <x:c r="B638" s="60" t="str">
        <x:f>IF($D$6&lt;&gt;"Complete","",IF('Inputs'!$C$47+568&lt;=$D$9,'Inputs'!$C$47+568,""))</x:f>
      </x:c>
      <x:c r="C638" s="37" t="str">
        <x:f>IF(B638="","",SUMIFS($D$14:$D$23,$C$14:$C$23,B638))</x:f>
      </x:c>
      <x:c r="D638" s="37" t="str">
        <x:f>IF(B638="","",SUMIFS($E$14:$E$23,$C$14:$C$23,B638))</x:f>
      </x:c>
      <x:c r="E638" s="37" t="str">
        <x:f>IF(B638="","",C638-D638)</x:f>
      </x:c>
      <x:c r="F638" s="37" t="str">
        <x:f>IF(B638="","",F637+E638)</x:f>
      </x:c>
      <x:c r="G638" s="37" t="str">
        <x:f>IF(OR(B638="",$I$6&lt;&gt;"Complete"),"",SUMIFS($D$32:$D$51,$C$32:$C$51,B638,$I$32:$I$51,"Ready"))</x:f>
      </x:c>
      <x:c r="H638" s="37" t="str">
        <x:f>IF(OR(B638="",$I$6&lt;&gt;"Complete"),"",SUMIFS($E$32:$E$51,$C$32:$C$51,B638,$I$32:$I$51,"Ready"))</x:f>
      </x:c>
      <x:c r="I638" s="37" t="str">
        <x:f>IF(OR(B638="",$I$6&lt;&gt;"Complete"),"",I637+E638+G638-H638)</x:f>
      </x:c>
      <x:c r="J638" s="37" t="str">
        <x:f>IF(OR(B638="",$I$6&lt;&gt;"Complete"),"",'Inputs'!$C$49)</x:f>
      </x:c>
      <x:c r="K638" s="37" t="str">
        <x:f>IF(OR(B638="",$I$6&lt;&gt;"Complete"),"",I638-J638)</x:f>
      </x:c>
      <x:c r="L638" s="61" t="str">
        <x:f>IF(OR(B638="",$I$6&lt;&gt;"Complete"),"",IF(K638&lt;0,1,0))</x:f>
      </x:c>
    </x:row>
    <x:row r="639" ht="23" customHeight="1">
      <x:c r="A639" s="2"/>
      <x:c r="B639" s="60" t="str">
        <x:f>IF($D$6&lt;&gt;"Complete","",IF('Inputs'!$C$47+569&lt;=$D$9,'Inputs'!$C$47+569,""))</x:f>
      </x:c>
      <x:c r="C639" s="37" t="str">
        <x:f>IF(B639="","",SUMIFS($D$14:$D$23,$C$14:$C$23,B639))</x:f>
      </x:c>
      <x:c r="D639" s="37" t="str">
        <x:f>IF(B639="","",SUMIFS($E$14:$E$23,$C$14:$C$23,B639))</x:f>
      </x:c>
      <x:c r="E639" s="37" t="str">
        <x:f>IF(B639="","",C639-D639)</x:f>
      </x:c>
      <x:c r="F639" s="37" t="str">
        <x:f>IF(B639="","",F638+E639)</x:f>
      </x:c>
      <x:c r="G639" s="37" t="str">
        <x:f>IF(OR(B639="",$I$6&lt;&gt;"Complete"),"",SUMIFS($D$32:$D$51,$C$32:$C$51,B639,$I$32:$I$51,"Ready"))</x:f>
      </x:c>
      <x:c r="H639" s="37" t="str">
        <x:f>IF(OR(B639="",$I$6&lt;&gt;"Complete"),"",SUMIFS($E$32:$E$51,$C$32:$C$51,B639,$I$32:$I$51,"Ready"))</x:f>
      </x:c>
      <x:c r="I639" s="37" t="str">
        <x:f>IF(OR(B639="",$I$6&lt;&gt;"Complete"),"",I638+E639+G639-H639)</x:f>
      </x:c>
      <x:c r="J639" s="37" t="str">
        <x:f>IF(OR(B639="",$I$6&lt;&gt;"Complete"),"",'Inputs'!$C$49)</x:f>
      </x:c>
      <x:c r="K639" s="37" t="str">
        <x:f>IF(OR(B639="",$I$6&lt;&gt;"Complete"),"",I639-J639)</x:f>
      </x:c>
      <x:c r="L639" s="61" t="str">
        <x:f>IF(OR(B639="",$I$6&lt;&gt;"Complete"),"",IF(K639&lt;0,1,0))</x:f>
      </x:c>
    </x:row>
    <x:row r="640" ht="23" customHeight="1">
      <x:c r="A640" s="2"/>
      <x:c r="B640" s="60" t="str">
        <x:f>IF($D$6&lt;&gt;"Complete","",IF('Inputs'!$C$47+570&lt;=$D$9,'Inputs'!$C$47+570,""))</x:f>
      </x:c>
      <x:c r="C640" s="37" t="str">
        <x:f>IF(B640="","",SUMIFS($D$14:$D$23,$C$14:$C$23,B640))</x:f>
      </x:c>
      <x:c r="D640" s="37" t="str">
        <x:f>IF(B640="","",SUMIFS($E$14:$E$23,$C$14:$C$23,B640))</x:f>
      </x:c>
      <x:c r="E640" s="37" t="str">
        <x:f>IF(B640="","",C640-D640)</x:f>
      </x:c>
      <x:c r="F640" s="37" t="str">
        <x:f>IF(B640="","",F639+E640)</x:f>
      </x:c>
      <x:c r="G640" s="37" t="str">
        <x:f>IF(OR(B640="",$I$6&lt;&gt;"Complete"),"",SUMIFS($D$32:$D$51,$C$32:$C$51,B640,$I$32:$I$51,"Ready"))</x:f>
      </x:c>
      <x:c r="H640" s="37" t="str">
        <x:f>IF(OR(B640="",$I$6&lt;&gt;"Complete"),"",SUMIFS($E$32:$E$51,$C$32:$C$51,B640,$I$32:$I$51,"Ready"))</x:f>
      </x:c>
      <x:c r="I640" s="37" t="str">
        <x:f>IF(OR(B640="",$I$6&lt;&gt;"Complete"),"",I639+E640+G640-H640)</x:f>
      </x:c>
      <x:c r="J640" s="37" t="str">
        <x:f>IF(OR(B640="",$I$6&lt;&gt;"Complete"),"",'Inputs'!$C$49)</x:f>
      </x:c>
      <x:c r="K640" s="37" t="str">
        <x:f>IF(OR(B640="",$I$6&lt;&gt;"Complete"),"",I640-J640)</x:f>
      </x:c>
      <x:c r="L640" s="61" t="str">
        <x:f>IF(OR(B640="",$I$6&lt;&gt;"Complete"),"",IF(K640&lt;0,1,0))</x:f>
      </x:c>
    </x:row>
    <x:row r="641" ht="23" customHeight="1">
      <x:c r="A641" s="2"/>
      <x:c r="B641" s="60" t="str">
        <x:f>IF($D$6&lt;&gt;"Complete","",IF('Inputs'!$C$47+571&lt;=$D$9,'Inputs'!$C$47+571,""))</x:f>
      </x:c>
      <x:c r="C641" s="37" t="str">
        <x:f>IF(B641="","",SUMIFS($D$14:$D$23,$C$14:$C$23,B641))</x:f>
      </x:c>
      <x:c r="D641" s="37" t="str">
        <x:f>IF(B641="","",SUMIFS($E$14:$E$23,$C$14:$C$23,B641))</x:f>
      </x:c>
      <x:c r="E641" s="37" t="str">
        <x:f>IF(B641="","",C641-D641)</x:f>
      </x:c>
      <x:c r="F641" s="37" t="str">
        <x:f>IF(B641="","",F640+E641)</x:f>
      </x:c>
      <x:c r="G641" s="37" t="str">
        <x:f>IF(OR(B641="",$I$6&lt;&gt;"Complete"),"",SUMIFS($D$32:$D$51,$C$32:$C$51,B641,$I$32:$I$51,"Ready"))</x:f>
      </x:c>
      <x:c r="H641" s="37" t="str">
        <x:f>IF(OR(B641="",$I$6&lt;&gt;"Complete"),"",SUMIFS($E$32:$E$51,$C$32:$C$51,B641,$I$32:$I$51,"Ready"))</x:f>
      </x:c>
      <x:c r="I641" s="37" t="str">
        <x:f>IF(OR(B641="",$I$6&lt;&gt;"Complete"),"",I640+E641+G641-H641)</x:f>
      </x:c>
      <x:c r="J641" s="37" t="str">
        <x:f>IF(OR(B641="",$I$6&lt;&gt;"Complete"),"",'Inputs'!$C$49)</x:f>
      </x:c>
      <x:c r="K641" s="37" t="str">
        <x:f>IF(OR(B641="",$I$6&lt;&gt;"Complete"),"",I641-J641)</x:f>
      </x:c>
      <x:c r="L641" s="61" t="str">
        <x:f>IF(OR(B641="",$I$6&lt;&gt;"Complete"),"",IF(K641&lt;0,1,0))</x:f>
      </x:c>
    </x:row>
    <x:row r="642" ht="23" customHeight="1">
      <x:c r="A642" s="2"/>
      <x:c r="B642" s="60" t="str">
        <x:f>IF($D$6&lt;&gt;"Complete","",IF('Inputs'!$C$47+572&lt;=$D$9,'Inputs'!$C$47+572,""))</x:f>
      </x:c>
      <x:c r="C642" s="37" t="str">
        <x:f>IF(B642="","",SUMIFS($D$14:$D$23,$C$14:$C$23,B642))</x:f>
      </x:c>
      <x:c r="D642" s="37" t="str">
        <x:f>IF(B642="","",SUMIFS($E$14:$E$23,$C$14:$C$23,B642))</x:f>
      </x:c>
      <x:c r="E642" s="37" t="str">
        <x:f>IF(B642="","",C642-D642)</x:f>
      </x:c>
      <x:c r="F642" s="37" t="str">
        <x:f>IF(B642="","",F641+E642)</x:f>
      </x:c>
      <x:c r="G642" s="37" t="str">
        <x:f>IF(OR(B642="",$I$6&lt;&gt;"Complete"),"",SUMIFS($D$32:$D$51,$C$32:$C$51,B642,$I$32:$I$51,"Ready"))</x:f>
      </x:c>
      <x:c r="H642" s="37" t="str">
        <x:f>IF(OR(B642="",$I$6&lt;&gt;"Complete"),"",SUMIFS($E$32:$E$51,$C$32:$C$51,B642,$I$32:$I$51,"Ready"))</x:f>
      </x:c>
      <x:c r="I642" s="37" t="str">
        <x:f>IF(OR(B642="",$I$6&lt;&gt;"Complete"),"",I641+E642+G642-H642)</x:f>
      </x:c>
      <x:c r="J642" s="37" t="str">
        <x:f>IF(OR(B642="",$I$6&lt;&gt;"Complete"),"",'Inputs'!$C$49)</x:f>
      </x:c>
      <x:c r="K642" s="37" t="str">
        <x:f>IF(OR(B642="",$I$6&lt;&gt;"Complete"),"",I642-J642)</x:f>
      </x:c>
      <x:c r="L642" s="61" t="str">
        <x:f>IF(OR(B642="",$I$6&lt;&gt;"Complete"),"",IF(K642&lt;0,1,0))</x:f>
      </x:c>
    </x:row>
    <x:row r="643" ht="23" customHeight="1">
      <x:c r="A643" s="2"/>
      <x:c r="B643" s="60" t="str">
        <x:f>IF($D$6&lt;&gt;"Complete","",IF('Inputs'!$C$47+573&lt;=$D$9,'Inputs'!$C$47+573,""))</x:f>
      </x:c>
      <x:c r="C643" s="37" t="str">
        <x:f>IF(B643="","",SUMIFS($D$14:$D$23,$C$14:$C$23,B643))</x:f>
      </x:c>
      <x:c r="D643" s="37" t="str">
        <x:f>IF(B643="","",SUMIFS($E$14:$E$23,$C$14:$C$23,B643))</x:f>
      </x:c>
      <x:c r="E643" s="37" t="str">
        <x:f>IF(B643="","",C643-D643)</x:f>
      </x:c>
      <x:c r="F643" s="37" t="str">
        <x:f>IF(B643="","",F642+E643)</x:f>
      </x:c>
      <x:c r="G643" s="37" t="str">
        <x:f>IF(OR(B643="",$I$6&lt;&gt;"Complete"),"",SUMIFS($D$32:$D$51,$C$32:$C$51,B643,$I$32:$I$51,"Ready"))</x:f>
      </x:c>
      <x:c r="H643" s="37" t="str">
        <x:f>IF(OR(B643="",$I$6&lt;&gt;"Complete"),"",SUMIFS($E$32:$E$51,$C$32:$C$51,B643,$I$32:$I$51,"Ready"))</x:f>
      </x:c>
      <x:c r="I643" s="37" t="str">
        <x:f>IF(OR(B643="",$I$6&lt;&gt;"Complete"),"",I642+E643+G643-H643)</x:f>
      </x:c>
      <x:c r="J643" s="37" t="str">
        <x:f>IF(OR(B643="",$I$6&lt;&gt;"Complete"),"",'Inputs'!$C$49)</x:f>
      </x:c>
      <x:c r="K643" s="37" t="str">
        <x:f>IF(OR(B643="",$I$6&lt;&gt;"Complete"),"",I643-J643)</x:f>
      </x:c>
      <x:c r="L643" s="61" t="str">
        <x:f>IF(OR(B643="",$I$6&lt;&gt;"Complete"),"",IF(K643&lt;0,1,0))</x:f>
      </x:c>
    </x:row>
    <x:row r="644" ht="23" customHeight="1">
      <x:c r="A644" s="2"/>
      <x:c r="B644" s="60" t="str">
        <x:f>IF($D$6&lt;&gt;"Complete","",IF('Inputs'!$C$47+574&lt;=$D$9,'Inputs'!$C$47+574,""))</x:f>
      </x:c>
      <x:c r="C644" s="37" t="str">
        <x:f>IF(B644="","",SUMIFS($D$14:$D$23,$C$14:$C$23,B644))</x:f>
      </x:c>
      <x:c r="D644" s="37" t="str">
        <x:f>IF(B644="","",SUMIFS($E$14:$E$23,$C$14:$C$23,B644))</x:f>
      </x:c>
      <x:c r="E644" s="37" t="str">
        <x:f>IF(B644="","",C644-D644)</x:f>
      </x:c>
      <x:c r="F644" s="37" t="str">
        <x:f>IF(B644="","",F643+E644)</x:f>
      </x:c>
      <x:c r="G644" s="37" t="str">
        <x:f>IF(OR(B644="",$I$6&lt;&gt;"Complete"),"",SUMIFS($D$32:$D$51,$C$32:$C$51,B644,$I$32:$I$51,"Ready"))</x:f>
      </x:c>
      <x:c r="H644" s="37" t="str">
        <x:f>IF(OR(B644="",$I$6&lt;&gt;"Complete"),"",SUMIFS($E$32:$E$51,$C$32:$C$51,B644,$I$32:$I$51,"Ready"))</x:f>
      </x:c>
      <x:c r="I644" s="37" t="str">
        <x:f>IF(OR(B644="",$I$6&lt;&gt;"Complete"),"",I643+E644+G644-H644)</x:f>
      </x:c>
      <x:c r="J644" s="37" t="str">
        <x:f>IF(OR(B644="",$I$6&lt;&gt;"Complete"),"",'Inputs'!$C$49)</x:f>
      </x:c>
      <x:c r="K644" s="37" t="str">
        <x:f>IF(OR(B644="",$I$6&lt;&gt;"Complete"),"",I644-J644)</x:f>
      </x:c>
      <x:c r="L644" s="61" t="str">
        <x:f>IF(OR(B644="",$I$6&lt;&gt;"Complete"),"",IF(K644&lt;0,1,0))</x:f>
      </x:c>
    </x:row>
    <x:row r="645" ht="23" customHeight="1">
      <x:c r="A645" s="2"/>
      <x:c r="B645" s="60" t="str">
        <x:f>IF($D$6&lt;&gt;"Complete","",IF('Inputs'!$C$47+575&lt;=$D$9,'Inputs'!$C$47+575,""))</x:f>
      </x:c>
      <x:c r="C645" s="37" t="str">
        <x:f>IF(B645="","",SUMIFS($D$14:$D$23,$C$14:$C$23,B645))</x:f>
      </x:c>
      <x:c r="D645" s="37" t="str">
        <x:f>IF(B645="","",SUMIFS($E$14:$E$23,$C$14:$C$23,B645))</x:f>
      </x:c>
      <x:c r="E645" s="37" t="str">
        <x:f>IF(B645="","",C645-D645)</x:f>
      </x:c>
      <x:c r="F645" s="37" t="str">
        <x:f>IF(B645="","",F644+E645)</x:f>
      </x:c>
      <x:c r="G645" s="37" t="str">
        <x:f>IF(OR(B645="",$I$6&lt;&gt;"Complete"),"",SUMIFS($D$32:$D$51,$C$32:$C$51,B645,$I$32:$I$51,"Ready"))</x:f>
      </x:c>
      <x:c r="H645" s="37" t="str">
        <x:f>IF(OR(B645="",$I$6&lt;&gt;"Complete"),"",SUMIFS($E$32:$E$51,$C$32:$C$51,B645,$I$32:$I$51,"Ready"))</x:f>
      </x:c>
      <x:c r="I645" s="37" t="str">
        <x:f>IF(OR(B645="",$I$6&lt;&gt;"Complete"),"",I644+E645+G645-H645)</x:f>
      </x:c>
      <x:c r="J645" s="37" t="str">
        <x:f>IF(OR(B645="",$I$6&lt;&gt;"Complete"),"",'Inputs'!$C$49)</x:f>
      </x:c>
      <x:c r="K645" s="37" t="str">
        <x:f>IF(OR(B645="",$I$6&lt;&gt;"Complete"),"",I645-J645)</x:f>
      </x:c>
      <x:c r="L645" s="61" t="str">
        <x:f>IF(OR(B645="",$I$6&lt;&gt;"Complete"),"",IF(K645&lt;0,1,0))</x:f>
      </x:c>
    </x:row>
    <x:row r="646" ht="23" customHeight="1">
      <x:c r="A646" s="2"/>
      <x:c r="B646" s="60" t="str">
        <x:f>IF($D$6&lt;&gt;"Complete","",IF('Inputs'!$C$47+576&lt;=$D$9,'Inputs'!$C$47+576,""))</x:f>
      </x:c>
      <x:c r="C646" s="37" t="str">
        <x:f>IF(B646="","",SUMIFS($D$14:$D$23,$C$14:$C$23,B646))</x:f>
      </x:c>
      <x:c r="D646" s="37" t="str">
        <x:f>IF(B646="","",SUMIFS($E$14:$E$23,$C$14:$C$23,B646))</x:f>
      </x:c>
      <x:c r="E646" s="37" t="str">
        <x:f>IF(B646="","",C646-D646)</x:f>
      </x:c>
      <x:c r="F646" s="37" t="str">
        <x:f>IF(B646="","",F645+E646)</x:f>
      </x:c>
      <x:c r="G646" s="37" t="str">
        <x:f>IF(OR(B646="",$I$6&lt;&gt;"Complete"),"",SUMIFS($D$32:$D$51,$C$32:$C$51,B646,$I$32:$I$51,"Ready"))</x:f>
      </x:c>
      <x:c r="H646" s="37" t="str">
        <x:f>IF(OR(B646="",$I$6&lt;&gt;"Complete"),"",SUMIFS($E$32:$E$51,$C$32:$C$51,B646,$I$32:$I$51,"Ready"))</x:f>
      </x:c>
      <x:c r="I646" s="37" t="str">
        <x:f>IF(OR(B646="",$I$6&lt;&gt;"Complete"),"",I645+E646+G646-H646)</x:f>
      </x:c>
      <x:c r="J646" s="37" t="str">
        <x:f>IF(OR(B646="",$I$6&lt;&gt;"Complete"),"",'Inputs'!$C$49)</x:f>
      </x:c>
      <x:c r="K646" s="37" t="str">
        <x:f>IF(OR(B646="",$I$6&lt;&gt;"Complete"),"",I646-J646)</x:f>
      </x:c>
      <x:c r="L646" s="61" t="str">
        <x:f>IF(OR(B646="",$I$6&lt;&gt;"Complete"),"",IF(K646&lt;0,1,0))</x:f>
      </x:c>
    </x:row>
    <x:row r="647" ht="23" customHeight="1">
      <x:c r="A647" s="2"/>
      <x:c r="B647" s="60" t="str">
        <x:f>IF($D$6&lt;&gt;"Complete","",IF('Inputs'!$C$47+577&lt;=$D$9,'Inputs'!$C$47+577,""))</x:f>
      </x:c>
      <x:c r="C647" s="37" t="str">
        <x:f>IF(B647="","",SUMIFS($D$14:$D$23,$C$14:$C$23,B647))</x:f>
      </x:c>
      <x:c r="D647" s="37" t="str">
        <x:f>IF(B647="","",SUMIFS($E$14:$E$23,$C$14:$C$23,B647))</x:f>
      </x:c>
      <x:c r="E647" s="37" t="str">
        <x:f>IF(B647="","",C647-D647)</x:f>
      </x:c>
      <x:c r="F647" s="37" t="str">
        <x:f>IF(B647="","",F646+E647)</x:f>
      </x:c>
      <x:c r="G647" s="37" t="str">
        <x:f>IF(OR(B647="",$I$6&lt;&gt;"Complete"),"",SUMIFS($D$32:$D$51,$C$32:$C$51,B647,$I$32:$I$51,"Ready"))</x:f>
      </x:c>
      <x:c r="H647" s="37" t="str">
        <x:f>IF(OR(B647="",$I$6&lt;&gt;"Complete"),"",SUMIFS($E$32:$E$51,$C$32:$C$51,B647,$I$32:$I$51,"Ready"))</x:f>
      </x:c>
      <x:c r="I647" s="37" t="str">
        <x:f>IF(OR(B647="",$I$6&lt;&gt;"Complete"),"",I646+E647+G647-H647)</x:f>
      </x:c>
      <x:c r="J647" s="37" t="str">
        <x:f>IF(OR(B647="",$I$6&lt;&gt;"Complete"),"",'Inputs'!$C$49)</x:f>
      </x:c>
      <x:c r="K647" s="37" t="str">
        <x:f>IF(OR(B647="",$I$6&lt;&gt;"Complete"),"",I647-J647)</x:f>
      </x:c>
      <x:c r="L647" s="61" t="str">
        <x:f>IF(OR(B647="",$I$6&lt;&gt;"Complete"),"",IF(K647&lt;0,1,0))</x:f>
      </x:c>
    </x:row>
    <x:row r="648" ht="23" customHeight="1">
      <x:c r="A648" s="2"/>
      <x:c r="B648" s="60" t="str">
        <x:f>IF($D$6&lt;&gt;"Complete","",IF('Inputs'!$C$47+578&lt;=$D$9,'Inputs'!$C$47+578,""))</x:f>
      </x:c>
      <x:c r="C648" s="37" t="str">
        <x:f>IF(B648="","",SUMIFS($D$14:$D$23,$C$14:$C$23,B648))</x:f>
      </x:c>
      <x:c r="D648" s="37" t="str">
        <x:f>IF(B648="","",SUMIFS($E$14:$E$23,$C$14:$C$23,B648))</x:f>
      </x:c>
      <x:c r="E648" s="37" t="str">
        <x:f>IF(B648="","",C648-D648)</x:f>
      </x:c>
      <x:c r="F648" s="37" t="str">
        <x:f>IF(B648="","",F647+E648)</x:f>
      </x:c>
      <x:c r="G648" s="37" t="str">
        <x:f>IF(OR(B648="",$I$6&lt;&gt;"Complete"),"",SUMIFS($D$32:$D$51,$C$32:$C$51,B648,$I$32:$I$51,"Ready"))</x:f>
      </x:c>
      <x:c r="H648" s="37" t="str">
        <x:f>IF(OR(B648="",$I$6&lt;&gt;"Complete"),"",SUMIFS($E$32:$E$51,$C$32:$C$51,B648,$I$32:$I$51,"Ready"))</x:f>
      </x:c>
      <x:c r="I648" s="37" t="str">
        <x:f>IF(OR(B648="",$I$6&lt;&gt;"Complete"),"",I647+E648+G648-H648)</x:f>
      </x:c>
      <x:c r="J648" s="37" t="str">
        <x:f>IF(OR(B648="",$I$6&lt;&gt;"Complete"),"",'Inputs'!$C$49)</x:f>
      </x:c>
      <x:c r="K648" s="37" t="str">
        <x:f>IF(OR(B648="",$I$6&lt;&gt;"Complete"),"",I648-J648)</x:f>
      </x:c>
      <x:c r="L648" s="61" t="str">
        <x:f>IF(OR(B648="",$I$6&lt;&gt;"Complete"),"",IF(K648&lt;0,1,0))</x:f>
      </x:c>
    </x:row>
    <x:row r="649" ht="23" customHeight="1">
      <x:c r="A649" s="2"/>
      <x:c r="B649" s="60" t="str">
        <x:f>IF($D$6&lt;&gt;"Complete","",IF('Inputs'!$C$47+579&lt;=$D$9,'Inputs'!$C$47+579,""))</x:f>
      </x:c>
      <x:c r="C649" s="37" t="str">
        <x:f>IF(B649="","",SUMIFS($D$14:$D$23,$C$14:$C$23,B649))</x:f>
      </x:c>
      <x:c r="D649" s="37" t="str">
        <x:f>IF(B649="","",SUMIFS($E$14:$E$23,$C$14:$C$23,B649))</x:f>
      </x:c>
      <x:c r="E649" s="37" t="str">
        <x:f>IF(B649="","",C649-D649)</x:f>
      </x:c>
      <x:c r="F649" s="37" t="str">
        <x:f>IF(B649="","",F648+E649)</x:f>
      </x:c>
      <x:c r="G649" s="37" t="str">
        <x:f>IF(OR(B649="",$I$6&lt;&gt;"Complete"),"",SUMIFS($D$32:$D$51,$C$32:$C$51,B649,$I$32:$I$51,"Ready"))</x:f>
      </x:c>
      <x:c r="H649" s="37" t="str">
        <x:f>IF(OR(B649="",$I$6&lt;&gt;"Complete"),"",SUMIFS($E$32:$E$51,$C$32:$C$51,B649,$I$32:$I$51,"Ready"))</x:f>
      </x:c>
      <x:c r="I649" s="37" t="str">
        <x:f>IF(OR(B649="",$I$6&lt;&gt;"Complete"),"",I648+E649+G649-H649)</x:f>
      </x:c>
      <x:c r="J649" s="37" t="str">
        <x:f>IF(OR(B649="",$I$6&lt;&gt;"Complete"),"",'Inputs'!$C$49)</x:f>
      </x:c>
      <x:c r="K649" s="37" t="str">
        <x:f>IF(OR(B649="",$I$6&lt;&gt;"Complete"),"",I649-J649)</x:f>
      </x:c>
      <x:c r="L649" s="61" t="str">
        <x:f>IF(OR(B649="",$I$6&lt;&gt;"Complete"),"",IF(K649&lt;0,1,0))</x:f>
      </x:c>
    </x:row>
    <x:row r="650" ht="23" customHeight="1">
      <x:c r="A650" s="2"/>
      <x:c r="B650" s="60" t="str">
        <x:f>IF($D$6&lt;&gt;"Complete","",IF('Inputs'!$C$47+580&lt;=$D$9,'Inputs'!$C$47+580,""))</x:f>
      </x:c>
      <x:c r="C650" s="37" t="str">
        <x:f>IF(B650="","",SUMIFS($D$14:$D$23,$C$14:$C$23,B650))</x:f>
      </x:c>
      <x:c r="D650" s="37" t="str">
        <x:f>IF(B650="","",SUMIFS($E$14:$E$23,$C$14:$C$23,B650))</x:f>
      </x:c>
      <x:c r="E650" s="37" t="str">
        <x:f>IF(B650="","",C650-D650)</x:f>
      </x:c>
      <x:c r="F650" s="37" t="str">
        <x:f>IF(B650="","",F649+E650)</x:f>
      </x:c>
      <x:c r="G650" s="37" t="str">
        <x:f>IF(OR(B650="",$I$6&lt;&gt;"Complete"),"",SUMIFS($D$32:$D$51,$C$32:$C$51,B650,$I$32:$I$51,"Ready"))</x:f>
      </x:c>
      <x:c r="H650" s="37" t="str">
        <x:f>IF(OR(B650="",$I$6&lt;&gt;"Complete"),"",SUMIFS($E$32:$E$51,$C$32:$C$51,B650,$I$32:$I$51,"Ready"))</x:f>
      </x:c>
      <x:c r="I650" s="37" t="str">
        <x:f>IF(OR(B650="",$I$6&lt;&gt;"Complete"),"",I649+E650+G650-H650)</x:f>
      </x:c>
      <x:c r="J650" s="37" t="str">
        <x:f>IF(OR(B650="",$I$6&lt;&gt;"Complete"),"",'Inputs'!$C$49)</x:f>
      </x:c>
      <x:c r="K650" s="37" t="str">
        <x:f>IF(OR(B650="",$I$6&lt;&gt;"Complete"),"",I650-J650)</x:f>
      </x:c>
      <x:c r="L650" s="61" t="str">
        <x:f>IF(OR(B650="",$I$6&lt;&gt;"Complete"),"",IF(K650&lt;0,1,0))</x:f>
      </x:c>
    </x:row>
    <x:row r="651" ht="23" customHeight="1">
      <x:c r="A651" s="2"/>
      <x:c r="B651" s="60" t="str">
        <x:f>IF($D$6&lt;&gt;"Complete","",IF('Inputs'!$C$47+581&lt;=$D$9,'Inputs'!$C$47+581,""))</x:f>
      </x:c>
      <x:c r="C651" s="37" t="str">
        <x:f>IF(B651="","",SUMIFS($D$14:$D$23,$C$14:$C$23,B651))</x:f>
      </x:c>
      <x:c r="D651" s="37" t="str">
        <x:f>IF(B651="","",SUMIFS($E$14:$E$23,$C$14:$C$23,B651))</x:f>
      </x:c>
      <x:c r="E651" s="37" t="str">
        <x:f>IF(B651="","",C651-D651)</x:f>
      </x:c>
      <x:c r="F651" s="37" t="str">
        <x:f>IF(B651="","",F650+E651)</x:f>
      </x:c>
      <x:c r="G651" s="37" t="str">
        <x:f>IF(OR(B651="",$I$6&lt;&gt;"Complete"),"",SUMIFS($D$32:$D$51,$C$32:$C$51,B651,$I$32:$I$51,"Ready"))</x:f>
      </x:c>
      <x:c r="H651" s="37" t="str">
        <x:f>IF(OR(B651="",$I$6&lt;&gt;"Complete"),"",SUMIFS($E$32:$E$51,$C$32:$C$51,B651,$I$32:$I$51,"Ready"))</x:f>
      </x:c>
      <x:c r="I651" s="37" t="str">
        <x:f>IF(OR(B651="",$I$6&lt;&gt;"Complete"),"",I650+E651+G651-H651)</x:f>
      </x:c>
      <x:c r="J651" s="37" t="str">
        <x:f>IF(OR(B651="",$I$6&lt;&gt;"Complete"),"",'Inputs'!$C$49)</x:f>
      </x:c>
      <x:c r="K651" s="37" t="str">
        <x:f>IF(OR(B651="",$I$6&lt;&gt;"Complete"),"",I651-J651)</x:f>
      </x:c>
      <x:c r="L651" s="61" t="str">
        <x:f>IF(OR(B651="",$I$6&lt;&gt;"Complete"),"",IF(K651&lt;0,1,0))</x:f>
      </x:c>
    </x:row>
    <x:row r="652" ht="23" customHeight="1">
      <x:c r="A652" s="2"/>
      <x:c r="B652" s="60" t="str">
        <x:f>IF($D$6&lt;&gt;"Complete","",IF('Inputs'!$C$47+582&lt;=$D$9,'Inputs'!$C$47+582,""))</x:f>
      </x:c>
      <x:c r="C652" s="37" t="str">
        <x:f>IF(B652="","",SUMIFS($D$14:$D$23,$C$14:$C$23,B652))</x:f>
      </x:c>
      <x:c r="D652" s="37" t="str">
        <x:f>IF(B652="","",SUMIFS($E$14:$E$23,$C$14:$C$23,B652))</x:f>
      </x:c>
      <x:c r="E652" s="37" t="str">
        <x:f>IF(B652="","",C652-D652)</x:f>
      </x:c>
      <x:c r="F652" s="37" t="str">
        <x:f>IF(B652="","",F651+E652)</x:f>
      </x:c>
      <x:c r="G652" s="37" t="str">
        <x:f>IF(OR(B652="",$I$6&lt;&gt;"Complete"),"",SUMIFS($D$32:$D$51,$C$32:$C$51,B652,$I$32:$I$51,"Ready"))</x:f>
      </x:c>
      <x:c r="H652" s="37" t="str">
        <x:f>IF(OR(B652="",$I$6&lt;&gt;"Complete"),"",SUMIFS($E$32:$E$51,$C$32:$C$51,B652,$I$32:$I$51,"Ready"))</x:f>
      </x:c>
      <x:c r="I652" s="37" t="str">
        <x:f>IF(OR(B652="",$I$6&lt;&gt;"Complete"),"",I651+E652+G652-H652)</x:f>
      </x:c>
      <x:c r="J652" s="37" t="str">
        <x:f>IF(OR(B652="",$I$6&lt;&gt;"Complete"),"",'Inputs'!$C$49)</x:f>
      </x:c>
      <x:c r="K652" s="37" t="str">
        <x:f>IF(OR(B652="",$I$6&lt;&gt;"Complete"),"",I652-J652)</x:f>
      </x:c>
      <x:c r="L652" s="61" t="str">
        <x:f>IF(OR(B652="",$I$6&lt;&gt;"Complete"),"",IF(K652&lt;0,1,0))</x:f>
      </x:c>
    </x:row>
    <x:row r="653" ht="23" customHeight="1">
      <x:c r="A653" s="2"/>
      <x:c r="B653" s="60" t="str">
        <x:f>IF($D$6&lt;&gt;"Complete","",IF('Inputs'!$C$47+583&lt;=$D$9,'Inputs'!$C$47+583,""))</x:f>
      </x:c>
      <x:c r="C653" s="37" t="str">
        <x:f>IF(B653="","",SUMIFS($D$14:$D$23,$C$14:$C$23,B653))</x:f>
      </x:c>
      <x:c r="D653" s="37" t="str">
        <x:f>IF(B653="","",SUMIFS($E$14:$E$23,$C$14:$C$23,B653))</x:f>
      </x:c>
      <x:c r="E653" s="37" t="str">
        <x:f>IF(B653="","",C653-D653)</x:f>
      </x:c>
      <x:c r="F653" s="37" t="str">
        <x:f>IF(B653="","",F652+E653)</x:f>
      </x:c>
      <x:c r="G653" s="37" t="str">
        <x:f>IF(OR(B653="",$I$6&lt;&gt;"Complete"),"",SUMIFS($D$32:$D$51,$C$32:$C$51,B653,$I$32:$I$51,"Ready"))</x:f>
      </x:c>
      <x:c r="H653" s="37" t="str">
        <x:f>IF(OR(B653="",$I$6&lt;&gt;"Complete"),"",SUMIFS($E$32:$E$51,$C$32:$C$51,B653,$I$32:$I$51,"Ready"))</x:f>
      </x:c>
      <x:c r="I653" s="37" t="str">
        <x:f>IF(OR(B653="",$I$6&lt;&gt;"Complete"),"",I652+E653+G653-H653)</x:f>
      </x:c>
      <x:c r="J653" s="37" t="str">
        <x:f>IF(OR(B653="",$I$6&lt;&gt;"Complete"),"",'Inputs'!$C$49)</x:f>
      </x:c>
      <x:c r="K653" s="37" t="str">
        <x:f>IF(OR(B653="",$I$6&lt;&gt;"Complete"),"",I653-J653)</x:f>
      </x:c>
      <x:c r="L653" s="61" t="str">
        <x:f>IF(OR(B653="",$I$6&lt;&gt;"Complete"),"",IF(K653&lt;0,1,0))</x:f>
      </x:c>
    </x:row>
    <x:row r="654" ht="23" customHeight="1">
      <x:c r="A654" s="2"/>
      <x:c r="B654" s="60" t="str">
        <x:f>IF($D$6&lt;&gt;"Complete","",IF('Inputs'!$C$47+584&lt;=$D$9,'Inputs'!$C$47+584,""))</x:f>
      </x:c>
      <x:c r="C654" s="37" t="str">
        <x:f>IF(B654="","",SUMIFS($D$14:$D$23,$C$14:$C$23,B654))</x:f>
      </x:c>
      <x:c r="D654" s="37" t="str">
        <x:f>IF(B654="","",SUMIFS($E$14:$E$23,$C$14:$C$23,B654))</x:f>
      </x:c>
      <x:c r="E654" s="37" t="str">
        <x:f>IF(B654="","",C654-D654)</x:f>
      </x:c>
      <x:c r="F654" s="37" t="str">
        <x:f>IF(B654="","",F653+E654)</x:f>
      </x:c>
      <x:c r="G654" s="37" t="str">
        <x:f>IF(OR(B654="",$I$6&lt;&gt;"Complete"),"",SUMIFS($D$32:$D$51,$C$32:$C$51,B654,$I$32:$I$51,"Ready"))</x:f>
      </x:c>
      <x:c r="H654" s="37" t="str">
        <x:f>IF(OR(B654="",$I$6&lt;&gt;"Complete"),"",SUMIFS($E$32:$E$51,$C$32:$C$51,B654,$I$32:$I$51,"Ready"))</x:f>
      </x:c>
      <x:c r="I654" s="37" t="str">
        <x:f>IF(OR(B654="",$I$6&lt;&gt;"Complete"),"",I653+E654+G654-H654)</x:f>
      </x:c>
      <x:c r="J654" s="37" t="str">
        <x:f>IF(OR(B654="",$I$6&lt;&gt;"Complete"),"",'Inputs'!$C$49)</x:f>
      </x:c>
      <x:c r="K654" s="37" t="str">
        <x:f>IF(OR(B654="",$I$6&lt;&gt;"Complete"),"",I654-J654)</x:f>
      </x:c>
      <x:c r="L654" s="61" t="str">
        <x:f>IF(OR(B654="",$I$6&lt;&gt;"Complete"),"",IF(K654&lt;0,1,0))</x:f>
      </x:c>
    </x:row>
    <x:row r="655" ht="23" customHeight="1">
      <x:c r="A655" s="2"/>
      <x:c r="B655" s="60" t="str">
        <x:f>IF($D$6&lt;&gt;"Complete","",IF('Inputs'!$C$47+585&lt;=$D$9,'Inputs'!$C$47+585,""))</x:f>
      </x:c>
      <x:c r="C655" s="37" t="str">
        <x:f>IF(B655="","",SUMIFS($D$14:$D$23,$C$14:$C$23,B655))</x:f>
      </x:c>
      <x:c r="D655" s="37" t="str">
        <x:f>IF(B655="","",SUMIFS($E$14:$E$23,$C$14:$C$23,B655))</x:f>
      </x:c>
      <x:c r="E655" s="37" t="str">
        <x:f>IF(B655="","",C655-D655)</x:f>
      </x:c>
      <x:c r="F655" s="37" t="str">
        <x:f>IF(B655="","",F654+E655)</x:f>
      </x:c>
      <x:c r="G655" s="37" t="str">
        <x:f>IF(OR(B655="",$I$6&lt;&gt;"Complete"),"",SUMIFS($D$32:$D$51,$C$32:$C$51,B655,$I$32:$I$51,"Ready"))</x:f>
      </x:c>
      <x:c r="H655" s="37" t="str">
        <x:f>IF(OR(B655="",$I$6&lt;&gt;"Complete"),"",SUMIFS($E$32:$E$51,$C$32:$C$51,B655,$I$32:$I$51,"Ready"))</x:f>
      </x:c>
      <x:c r="I655" s="37" t="str">
        <x:f>IF(OR(B655="",$I$6&lt;&gt;"Complete"),"",I654+E655+G655-H655)</x:f>
      </x:c>
      <x:c r="J655" s="37" t="str">
        <x:f>IF(OR(B655="",$I$6&lt;&gt;"Complete"),"",'Inputs'!$C$49)</x:f>
      </x:c>
      <x:c r="K655" s="37" t="str">
        <x:f>IF(OR(B655="",$I$6&lt;&gt;"Complete"),"",I655-J655)</x:f>
      </x:c>
      <x:c r="L655" s="61" t="str">
        <x:f>IF(OR(B655="",$I$6&lt;&gt;"Complete"),"",IF(K655&lt;0,1,0))</x:f>
      </x:c>
    </x:row>
    <x:row r="656" ht="23" customHeight="1">
      <x:c r="A656" s="2"/>
      <x:c r="B656" s="60" t="str">
        <x:f>IF($D$6&lt;&gt;"Complete","",IF('Inputs'!$C$47+586&lt;=$D$9,'Inputs'!$C$47+586,""))</x:f>
      </x:c>
      <x:c r="C656" s="37" t="str">
        <x:f>IF(B656="","",SUMIFS($D$14:$D$23,$C$14:$C$23,B656))</x:f>
      </x:c>
      <x:c r="D656" s="37" t="str">
        <x:f>IF(B656="","",SUMIFS($E$14:$E$23,$C$14:$C$23,B656))</x:f>
      </x:c>
      <x:c r="E656" s="37" t="str">
        <x:f>IF(B656="","",C656-D656)</x:f>
      </x:c>
      <x:c r="F656" s="37" t="str">
        <x:f>IF(B656="","",F655+E656)</x:f>
      </x:c>
      <x:c r="G656" s="37" t="str">
        <x:f>IF(OR(B656="",$I$6&lt;&gt;"Complete"),"",SUMIFS($D$32:$D$51,$C$32:$C$51,B656,$I$32:$I$51,"Ready"))</x:f>
      </x:c>
      <x:c r="H656" s="37" t="str">
        <x:f>IF(OR(B656="",$I$6&lt;&gt;"Complete"),"",SUMIFS($E$32:$E$51,$C$32:$C$51,B656,$I$32:$I$51,"Ready"))</x:f>
      </x:c>
      <x:c r="I656" s="37" t="str">
        <x:f>IF(OR(B656="",$I$6&lt;&gt;"Complete"),"",I655+E656+G656-H656)</x:f>
      </x:c>
      <x:c r="J656" s="37" t="str">
        <x:f>IF(OR(B656="",$I$6&lt;&gt;"Complete"),"",'Inputs'!$C$49)</x:f>
      </x:c>
      <x:c r="K656" s="37" t="str">
        <x:f>IF(OR(B656="",$I$6&lt;&gt;"Complete"),"",I656-J656)</x:f>
      </x:c>
      <x:c r="L656" s="61" t="str">
        <x:f>IF(OR(B656="",$I$6&lt;&gt;"Complete"),"",IF(K656&lt;0,1,0))</x:f>
      </x:c>
    </x:row>
    <x:row r="657" ht="23" customHeight="1">
      <x:c r="A657" s="2"/>
      <x:c r="B657" s="60" t="str">
        <x:f>IF($D$6&lt;&gt;"Complete","",IF('Inputs'!$C$47+587&lt;=$D$9,'Inputs'!$C$47+587,""))</x:f>
      </x:c>
      <x:c r="C657" s="37" t="str">
        <x:f>IF(B657="","",SUMIFS($D$14:$D$23,$C$14:$C$23,B657))</x:f>
      </x:c>
      <x:c r="D657" s="37" t="str">
        <x:f>IF(B657="","",SUMIFS($E$14:$E$23,$C$14:$C$23,B657))</x:f>
      </x:c>
      <x:c r="E657" s="37" t="str">
        <x:f>IF(B657="","",C657-D657)</x:f>
      </x:c>
      <x:c r="F657" s="37" t="str">
        <x:f>IF(B657="","",F656+E657)</x:f>
      </x:c>
      <x:c r="G657" s="37" t="str">
        <x:f>IF(OR(B657="",$I$6&lt;&gt;"Complete"),"",SUMIFS($D$32:$D$51,$C$32:$C$51,B657,$I$32:$I$51,"Ready"))</x:f>
      </x:c>
      <x:c r="H657" s="37" t="str">
        <x:f>IF(OR(B657="",$I$6&lt;&gt;"Complete"),"",SUMIFS($E$32:$E$51,$C$32:$C$51,B657,$I$32:$I$51,"Ready"))</x:f>
      </x:c>
      <x:c r="I657" s="37" t="str">
        <x:f>IF(OR(B657="",$I$6&lt;&gt;"Complete"),"",I656+E657+G657-H657)</x:f>
      </x:c>
      <x:c r="J657" s="37" t="str">
        <x:f>IF(OR(B657="",$I$6&lt;&gt;"Complete"),"",'Inputs'!$C$49)</x:f>
      </x:c>
      <x:c r="K657" s="37" t="str">
        <x:f>IF(OR(B657="",$I$6&lt;&gt;"Complete"),"",I657-J657)</x:f>
      </x:c>
      <x:c r="L657" s="61" t="str">
        <x:f>IF(OR(B657="",$I$6&lt;&gt;"Complete"),"",IF(K657&lt;0,1,0))</x:f>
      </x:c>
    </x:row>
    <x:row r="658" ht="23" customHeight="1">
      <x:c r="A658" s="2"/>
      <x:c r="B658" s="60" t="str">
        <x:f>IF($D$6&lt;&gt;"Complete","",IF('Inputs'!$C$47+588&lt;=$D$9,'Inputs'!$C$47+588,""))</x:f>
      </x:c>
      <x:c r="C658" s="37" t="str">
        <x:f>IF(B658="","",SUMIFS($D$14:$D$23,$C$14:$C$23,B658))</x:f>
      </x:c>
      <x:c r="D658" s="37" t="str">
        <x:f>IF(B658="","",SUMIFS($E$14:$E$23,$C$14:$C$23,B658))</x:f>
      </x:c>
      <x:c r="E658" s="37" t="str">
        <x:f>IF(B658="","",C658-D658)</x:f>
      </x:c>
      <x:c r="F658" s="37" t="str">
        <x:f>IF(B658="","",F657+E658)</x:f>
      </x:c>
      <x:c r="G658" s="37" t="str">
        <x:f>IF(OR(B658="",$I$6&lt;&gt;"Complete"),"",SUMIFS($D$32:$D$51,$C$32:$C$51,B658,$I$32:$I$51,"Ready"))</x:f>
      </x:c>
      <x:c r="H658" s="37" t="str">
        <x:f>IF(OR(B658="",$I$6&lt;&gt;"Complete"),"",SUMIFS($E$32:$E$51,$C$32:$C$51,B658,$I$32:$I$51,"Ready"))</x:f>
      </x:c>
      <x:c r="I658" s="37" t="str">
        <x:f>IF(OR(B658="",$I$6&lt;&gt;"Complete"),"",I657+E658+G658-H658)</x:f>
      </x:c>
      <x:c r="J658" s="37" t="str">
        <x:f>IF(OR(B658="",$I$6&lt;&gt;"Complete"),"",'Inputs'!$C$49)</x:f>
      </x:c>
      <x:c r="K658" s="37" t="str">
        <x:f>IF(OR(B658="",$I$6&lt;&gt;"Complete"),"",I658-J658)</x:f>
      </x:c>
      <x:c r="L658" s="61" t="str">
        <x:f>IF(OR(B658="",$I$6&lt;&gt;"Complete"),"",IF(K658&lt;0,1,0))</x:f>
      </x:c>
    </x:row>
    <x:row r="659" ht="23" customHeight="1">
      <x:c r="A659" s="2"/>
      <x:c r="B659" s="60" t="str">
        <x:f>IF($D$6&lt;&gt;"Complete","",IF('Inputs'!$C$47+589&lt;=$D$9,'Inputs'!$C$47+589,""))</x:f>
      </x:c>
      <x:c r="C659" s="37" t="str">
        <x:f>IF(B659="","",SUMIFS($D$14:$D$23,$C$14:$C$23,B659))</x:f>
      </x:c>
      <x:c r="D659" s="37" t="str">
        <x:f>IF(B659="","",SUMIFS($E$14:$E$23,$C$14:$C$23,B659))</x:f>
      </x:c>
      <x:c r="E659" s="37" t="str">
        <x:f>IF(B659="","",C659-D659)</x:f>
      </x:c>
      <x:c r="F659" s="37" t="str">
        <x:f>IF(B659="","",F658+E659)</x:f>
      </x:c>
      <x:c r="G659" s="37" t="str">
        <x:f>IF(OR(B659="",$I$6&lt;&gt;"Complete"),"",SUMIFS($D$32:$D$51,$C$32:$C$51,B659,$I$32:$I$51,"Ready"))</x:f>
      </x:c>
      <x:c r="H659" s="37" t="str">
        <x:f>IF(OR(B659="",$I$6&lt;&gt;"Complete"),"",SUMIFS($E$32:$E$51,$C$32:$C$51,B659,$I$32:$I$51,"Ready"))</x:f>
      </x:c>
      <x:c r="I659" s="37" t="str">
        <x:f>IF(OR(B659="",$I$6&lt;&gt;"Complete"),"",I658+E659+G659-H659)</x:f>
      </x:c>
      <x:c r="J659" s="37" t="str">
        <x:f>IF(OR(B659="",$I$6&lt;&gt;"Complete"),"",'Inputs'!$C$49)</x:f>
      </x:c>
      <x:c r="K659" s="37" t="str">
        <x:f>IF(OR(B659="",$I$6&lt;&gt;"Complete"),"",I659-J659)</x:f>
      </x:c>
      <x:c r="L659" s="61" t="str">
        <x:f>IF(OR(B659="",$I$6&lt;&gt;"Complete"),"",IF(K659&lt;0,1,0))</x:f>
      </x:c>
    </x:row>
    <x:row r="660" ht="23" customHeight="1">
      <x:c r="A660" s="2"/>
      <x:c r="B660" s="60" t="str">
        <x:f>IF($D$6&lt;&gt;"Complete","",IF('Inputs'!$C$47+590&lt;=$D$9,'Inputs'!$C$47+590,""))</x:f>
      </x:c>
      <x:c r="C660" s="37" t="str">
        <x:f>IF(B660="","",SUMIFS($D$14:$D$23,$C$14:$C$23,B660))</x:f>
      </x:c>
      <x:c r="D660" s="37" t="str">
        <x:f>IF(B660="","",SUMIFS($E$14:$E$23,$C$14:$C$23,B660))</x:f>
      </x:c>
      <x:c r="E660" s="37" t="str">
        <x:f>IF(B660="","",C660-D660)</x:f>
      </x:c>
      <x:c r="F660" s="37" t="str">
        <x:f>IF(B660="","",F659+E660)</x:f>
      </x:c>
      <x:c r="G660" s="37" t="str">
        <x:f>IF(OR(B660="",$I$6&lt;&gt;"Complete"),"",SUMIFS($D$32:$D$51,$C$32:$C$51,B660,$I$32:$I$51,"Ready"))</x:f>
      </x:c>
      <x:c r="H660" s="37" t="str">
        <x:f>IF(OR(B660="",$I$6&lt;&gt;"Complete"),"",SUMIFS($E$32:$E$51,$C$32:$C$51,B660,$I$32:$I$51,"Ready"))</x:f>
      </x:c>
      <x:c r="I660" s="37" t="str">
        <x:f>IF(OR(B660="",$I$6&lt;&gt;"Complete"),"",I659+E660+G660-H660)</x:f>
      </x:c>
      <x:c r="J660" s="37" t="str">
        <x:f>IF(OR(B660="",$I$6&lt;&gt;"Complete"),"",'Inputs'!$C$49)</x:f>
      </x:c>
      <x:c r="K660" s="37" t="str">
        <x:f>IF(OR(B660="",$I$6&lt;&gt;"Complete"),"",I660-J660)</x:f>
      </x:c>
      <x:c r="L660" s="61" t="str">
        <x:f>IF(OR(B660="",$I$6&lt;&gt;"Complete"),"",IF(K660&lt;0,1,0))</x:f>
      </x:c>
    </x:row>
    <x:row r="661" ht="23" customHeight="1">
      <x:c r="A661" s="2"/>
      <x:c r="B661" s="60" t="str">
        <x:f>IF($D$6&lt;&gt;"Complete","",IF('Inputs'!$C$47+591&lt;=$D$9,'Inputs'!$C$47+591,""))</x:f>
      </x:c>
      <x:c r="C661" s="37" t="str">
        <x:f>IF(B661="","",SUMIFS($D$14:$D$23,$C$14:$C$23,B661))</x:f>
      </x:c>
      <x:c r="D661" s="37" t="str">
        <x:f>IF(B661="","",SUMIFS($E$14:$E$23,$C$14:$C$23,B661))</x:f>
      </x:c>
      <x:c r="E661" s="37" t="str">
        <x:f>IF(B661="","",C661-D661)</x:f>
      </x:c>
      <x:c r="F661" s="37" t="str">
        <x:f>IF(B661="","",F660+E661)</x:f>
      </x:c>
      <x:c r="G661" s="37" t="str">
        <x:f>IF(OR(B661="",$I$6&lt;&gt;"Complete"),"",SUMIFS($D$32:$D$51,$C$32:$C$51,B661,$I$32:$I$51,"Ready"))</x:f>
      </x:c>
      <x:c r="H661" s="37" t="str">
        <x:f>IF(OR(B661="",$I$6&lt;&gt;"Complete"),"",SUMIFS($E$32:$E$51,$C$32:$C$51,B661,$I$32:$I$51,"Ready"))</x:f>
      </x:c>
      <x:c r="I661" s="37" t="str">
        <x:f>IF(OR(B661="",$I$6&lt;&gt;"Complete"),"",I660+E661+G661-H661)</x:f>
      </x:c>
      <x:c r="J661" s="37" t="str">
        <x:f>IF(OR(B661="",$I$6&lt;&gt;"Complete"),"",'Inputs'!$C$49)</x:f>
      </x:c>
      <x:c r="K661" s="37" t="str">
        <x:f>IF(OR(B661="",$I$6&lt;&gt;"Complete"),"",I661-J661)</x:f>
      </x:c>
      <x:c r="L661" s="61" t="str">
        <x:f>IF(OR(B661="",$I$6&lt;&gt;"Complete"),"",IF(K661&lt;0,1,0))</x:f>
      </x:c>
    </x:row>
    <x:row r="662" ht="23" customHeight="1">
      <x:c r="A662" s="2"/>
      <x:c r="B662" s="60" t="str">
        <x:f>IF($D$6&lt;&gt;"Complete","",IF('Inputs'!$C$47+592&lt;=$D$9,'Inputs'!$C$47+592,""))</x:f>
      </x:c>
      <x:c r="C662" s="37" t="str">
        <x:f>IF(B662="","",SUMIFS($D$14:$D$23,$C$14:$C$23,B662))</x:f>
      </x:c>
      <x:c r="D662" s="37" t="str">
        <x:f>IF(B662="","",SUMIFS($E$14:$E$23,$C$14:$C$23,B662))</x:f>
      </x:c>
      <x:c r="E662" s="37" t="str">
        <x:f>IF(B662="","",C662-D662)</x:f>
      </x:c>
      <x:c r="F662" s="37" t="str">
        <x:f>IF(B662="","",F661+E662)</x:f>
      </x:c>
      <x:c r="G662" s="37" t="str">
        <x:f>IF(OR(B662="",$I$6&lt;&gt;"Complete"),"",SUMIFS($D$32:$D$51,$C$32:$C$51,B662,$I$32:$I$51,"Ready"))</x:f>
      </x:c>
      <x:c r="H662" s="37" t="str">
        <x:f>IF(OR(B662="",$I$6&lt;&gt;"Complete"),"",SUMIFS($E$32:$E$51,$C$32:$C$51,B662,$I$32:$I$51,"Ready"))</x:f>
      </x:c>
      <x:c r="I662" s="37" t="str">
        <x:f>IF(OR(B662="",$I$6&lt;&gt;"Complete"),"",I661+E662+G662-H662)</x:f>
      </x:c>
      <x:c r="J662" s="37" t="str">
        <x:f>IF(OR(B662="",$I$6&lt;&gt;"Complete"),"",'Inputs'!$C$49)</x:f>
      </x:c>
      <x:c r="K662" s="37" t="str">
        <x:f>IF(OR(B662="",$I$6&lt;&gt;"Complete"),"",I662-J662)</x:f>
      </x:c>
      <x:c r="L662" s="61" t="str">
        <x:f>IF(OR(B662="",$I$6&lt;&gt;"Complete"),"",IF(K662&lt;0,1,0))</x:f>
      </x:c>
    </x:row>
    <x:row r="663" ht="23" customHeight="1">
      <x:c r="A663" s="2"/>
      <x:c r="B663" s="60" t="str">
        <x:f>IF($D$6&lt;&gt;"Complete","",IF('Inputs'!$C$47+593&lt;=$D$9,'Inputs'!$C$47+593,""))</x:f>
      </x:c>
      <x:c r="C663" s="37" t="str">
        <x:f>IF(B663="","",SUMIFS($D$14:$D$23,$C$14:$C$23,B663))</x:f>
      </x:c>
      <x:c r="D663" s="37" t="str">
        <x:f>IF(B663="","",SUMIFS($E$14:$E$23,$C$14:$C$23,B663))</x:f>
      </x:c>
      <x:c r="E663" s="37" t="str">
        <x:f>IF(B663="","",C663-D663)</x:f>
      </x:c>
      <x:c r="F663" s="37" t="str">
        <x:f>IF(B663="","",F662+E663)</x:f>
      </x:c>
      <x:c r="G663" s="37" t="str">
        <x:f>IF(OR(B663="",$I$6&lt;&gt;"Complete"),"",SUMIFS($D$32:$D$51,$C$32:$C$51,B663,$I$32:$I$51,"Ready"))</x:f>
      </x:c>
      <x:c r="H663" s="37" t="str">
        <x:f>IF(OR(B663="",$I$6&lt;&gt;"Complete"),"",SUMIFS($E$32:$E$51,$C$32:$C$51,B663,$I$32:$I$51,"Ready"))</x:f>
      </x:c>
      <x:c r="I663" s="37" t="str">
        <x:f>IF(OR(B663="",$I$6&lt;&gt;"Complete"),"",I662+E663+G663-H663)</x:f>
      </x:c>
      <x:c r="J663" s="37" t="str">
        <x:f>IF(OR(B663="",$I$6&lt;&gt;"Complete"),"",'Inputs'!$C$49)</x:f>
      </x:c>
      <x:c r="K663" s="37" t="str">
        <x:f>IF(OR(B663="",$I$6&lt;&gt;"Complete"),"",I663-J663)</x:f>
      </x:c>
      <x:c r="L663" s="61" t="str">
        <x:f>IF(OR(B663="",$I$6&lt;&gt;"Complete"),"",IF(K663&lt;0,1,0))</x:f>
      </x:c>
    </x:row>
    <x:row r="664" ht="23" customHeight="1">
      <x:c r="A664" s="2"/>
      <x:c r="B664" s="60" t="str">
        <x:f>IF($D$6&lt;&gt;"Complete","",IF('Inputs'!$C$47+594&lt;=$D$9,'Inputs'!$C$47+594,""))</x:f>
      </x:c>
      <x:c r="C664" s="37" t="str">
        <x:f>IF(B664="","",SUMIFS($D$14:$D$23,$C$14:$C$23,B664))</x:f>
      </x:c>
      <x:c r="D664" s="37" t="str">
        <x:f>IF(B664="","",SUMIFS($E$14:$E$23,$C$14:$C$23,B664))</x:f>
      </x:c>
      <x:c r="E664" s="37" t="str">
        <x:f>IF(B664="","",C664-D664)</x:f>
      </x:c>
      <x:c r="F664" s="37" t="str">
        <x:f>IF(B664="","",F663+E664)</x:f>
      </x:c>
      <x:c r="G664" s="37" t="str">
        <x:f>IF(OR(B664="",$I$6&lt;&gt;"Complete"),"",SUMIFS($D$32:$D$51,$C$32:$C$51,B664,$I$32:$I$51,"Ready"))</x:f>
      </x:c>
      <x:c r="H664" s="37" t="str">
        <x:f>IF(OR(B664="",$I$6&lt;&gt;"Complete"),"",SUMIFS($E$32:$E$51,$C$32:$C$51,B664,$I$32:$I$51,"Ready"))</x:f>
      </x:c>
      <x:c r="I664" s="37" t="str">
        <x:f>IF(OR(B664="",$I$6&lt;&gt;"Complete"),"",I663+E664+G664-H664)</x:f>
      </x:c>
      <x:c r="J664" s="37" t="str">
        <x:f>IF(OR(B664="",$I$6&lt;&gt;"Complete"),"",'Inputs'!$C$49)</x:f>
      </x:c>
      <x:c r="K664" s="37" t="str">
        <x:f>IF(OR(B664="",$I$6&lt;&gt;"Complete"),"",I664-J664)</x:f>
      </x:c>
      <x:c r="L664" s="61" t="str">
        <x:f>IF(OR(B664="",$I$6&lt;&gt;"Complete"),"",IF(K664&lt;0,1,0))</x:f>
      </x:c>
    </x:row>
    <x:row r="665" ht="23" customHeight="1">
      <x:c r="A665" s="2"/>
      <x:c r="B665" s="60" t="str">
        <x:f>IF($D$6&lt;&gt;"Complete","",IF('Inputs'!$C$47+595&lt;=$D$9,'Inputs'!$C$47+595,""))</x:f>
      </x:c>
      <x:c r="C665" s="37" t="str">
        <x:f>IF(B665="","",SUMIFS($D$14:$D$23,$C$14:$C$23,B665))</x:f>
      </x:c>
      <x:c r="D665" s="37" t="str">
        <x:f>IF(B665="","",SUMIFS($E$14:$E$23,$C$14:$C$23,B665))</x:f>
      </x:c>
      <x:c r="E665" s="37" t="str">
        <x:f>IF(B665="","",C665-D665)</x:f>
      </x:c>
      <x:c r="F665" s="37" t="str">
        <x:f>IF(B665="","",F664+E665)</x:f>
      </x:c>
      <x:c r="G665" s="37" t="str">
        <x:f>IF(OR(B665="",$I$6&lt;&gt;"Complete"),"",SUMIFS($D$32:$D$51,$C$32:$C$51,B665,$I$32:$I$51,"Ready"))</x:f>
      </x:c>
      <x:c r="H665" s="37" t="str">
        <x:f>IF(OR(B665="",$I$6&lt;&gt;"Complete"),"",SUMIFS($E$32:$E$51,$C$32:$C$51,B665,$I$32:$I$51,"Ready"))</x:f>
      </x:c>
      <x:c r="I665" s="37" t="str">
        <x:f>IF(OR(B665="",$I$6&lt;&gt;"Complete"),"",I664+E665+G665-H665)</x:f>
      </x:c>
      <x:c r="J665" s="37" t="str">
        <x:f>IF(OR(B665="",$I$6&lt;&gt;"Complete"),"",'Inputs'!$C$49)</x:f>
      </x:c>
      <x:c r="K665" s="37" t="str">
        <x:f>IF(OR(B665="",$I$6&lt;&gt;"Complete"),"",I665-J665)</x:f>
      </x:c>
      <x:c r="L665" s="61" t="str">
        <x:f>IF(OR(B665="",$I$6&lt;&gt;"Complete"),"",IF(K665&lt;0,1,0))</x:f>
      </x:c>
    </x:row>
    <x:row r="666" ht="23" customHeight="1">
      <x:c r="A666" s="2"/>
      <x:c r="B666" s="60" t="str">
        <x:f>IF($D$6&lt;&gt;"Complete","",IF('Inputs'!$C$47+596&lt;=$D$9,'Inputs'!$C$47+596,""))</x:f>
      </x:c>
      <x:c r="C666" s="37" t="str">
        <x:f>IF(B666="","",SUMIFS($D$14:$D$23,$C$14:$C$23,B666))</x:f>
      </x:c>
      <x:c r="D666" s="37" t="str">
        <x:f>IF(B666="","",SUMIFS($E$14:$E$23,$C$14:$C$23,B666))</x:f>
      </x:c>
      <x:c r="E666" s="37" t="str">
        <x:f>IF(B666="","",C666-D666)</x:f>
      </x:c>
      <x:c r="F666" s="37" t="str">
        <x:f>IF(B666="","",F665+E666)</x:f>
      </x:c>
      <x:c r="G666" s="37" t="str">
        <x:f>IF(OR(B666="",$I$6&lt;&gt;"Complete"),"",SUMIFS($D$32:$D$51,$C$32:$C$51,B666,$I$32:$I$51,"Ready"))</x:f>
      </x:c>
      <x:c r="H666" s="37" t="str">
        <x:f>IF(OR(B666="",$I$6&lt;&gt;"Complete"),"",SUMIFS($E$32:$E$51,$C$32:$C$51,B666,$I$32:$I$51,"Ready"))</x:f>
      </x:c>
      <x:c r="I666" s="37" t="str">
        <x:f>IF(OR(B666="",$I$6&lt;&gt;"Complete"),"",I665+E666+G666-H666)</x:f>
      </x:c>
      <x:c r="J666" s="37" t="str">
        <x:f>IF(OR(B666="",$I$6&lt;&gt;"Complete"),"",'Inputs'!$C$49)</x:f>
      </x:c>
      <x:c r="K666" s="37" t="str">
        <x:f>IF(OR(B666="",$I$6&lt;&gt;"Complete"),"",I666-J666)</x:f>
      </x:c>
      <x:c r="L666" s="61" t="str">
        <x:f>IF(OR(B666="",$I$6&lt;&gt;"Complete"),"",IF(K666&lt;0,1,0))</x:f>
      </x:c>
    </x:row>
    <x:row r="667" ht="23" customHeight="1">
      <x:c r="A667" s="2"/>
      <x:c r="B667" s="60" t="str">
        <x:f>IF($D$6&lt;&gt;"Complete","",IF('Inputs'!$C$47+597&lt;=$D$9,'Inputs'!$C$47+597,""))</x:f>
      </x:c>
      <x:c r="C667" s="37" t="str">
        <x:f>IF(B667="","",SUMIFS($D$14:$D$23,$C$14:$C$23,B667))</x:f>
      </x:c>
      <x:c r="D667" s="37" t="str">
        <x:f>IF(B667="","",SUMIFS($E$14:$E$23,$C$14:$C$23,B667))</x:f>
      </x:c>
      <x:c r="E667" s="37" t="str">
        <x:f>IF(B667="","",C667-D667)</x:f>
      </x:c>
      <x:c r="F667" s="37" t="str">
        <x:f>IF(B667="","",F666+E667)</x:f>
      </x:c>
      <x:c r="G667" s="37" t="str">
        <x:f>IF(OR(B667="",$I$6&lt;&gt;"Complete"),"",SUMIFS($D$32:$D$51,$C$32:$C$51,B667,$I$32:$I$51,"Ready"))</x:f>
      </x:c>
      <x:c r="H667" s="37" t="str">
        <x:f>IF(OR(B667="",$I$6&lt;&gt;"Complete"),"",SUMIFS($E$32:$E$51,$C$32:$C$51,B667,$I$32:$I$51,"Ready"))</x:f>
      </x:c>
      <x:c r="I667" s="37" t="str">
        <x:f>IF(OR(B667="",$I$6&lt;&gt;"Complete"),"",I666+E667+G667-H667)</x:f>
      </x:c>
      <x:c r="J667" s="37" t="str">
        <x:f>IF(OR(B667="",$I$6&lt;&gt;"Complete"),"",'Inputs'!$C$49)</x:f>
      </x:c>
      <x:c r="K667" s="37" t="str">
        <x:f>IF(OR(B667="",$I$6&lt;&gt;"Complete"),"",I667-J667)</x:f>
      </x:c>
      <x:c r="L667" s="61" t="str">
        <x:f>IF(OR(B667="",$I$6&lt;&gt;"Complete"),"",IF(K667&lt;0,1,0))</x:f>
      </x:c>
    </x:row>
    <x:row r="668" ht="23" customHeight="1">
      <x:c r="A668" s="2"/>
      <x:c r="B668" s="60" t="str">
        <x:f>IF($D$6&lt;&gt;"Complete","",IF('Inputs'!$C$47+598&lt;=$D$9,'Inputs'!$C$47+598,""))</x:f>
      </x:c>
      <x:c r="C668" s="37" t="str">
        <x:f>IF(B668="","",SUMIFS($D$14:$D$23,$C$14:$C$23,B668))</x:f>
      </x:c>
      <x:c r="D668" s="37" t="str">
        <x:f>IF(B668="","",SUMIFS($E$14:$E$23,$C$14:$C$23,B668))</x:f>
      </x:c>
      <x:c r="E668" s="37" t="str">
        <x:f>IF(B668="","",C668-D668)</x:f>
      </x:c>
      <x:c r="F668" s="37" t="str">
        <x:f>IF(B668="","",F667+E668)</x:f>
      </x:c>
      <x:c r="G668" s="37" t="str">
        <x:f>IF(OR(B668="",$I$6&lt;&gt;"Complete"),"",SUMIFS($D$32:$D$51,$C$32:$C$51,B668,$I$32:$I$51,"Ready"))</x:f>
      </x:c>
      <x:c r="H668" s="37" t="str">
        <x:f>IF(OR(B668="",$I$6&lt;&gt;"Complete"),"",SUMIFS($E$32:$E$51,$C$32:$C$51,B668,$I$32:$I$51,"Ready"))</x:f>
      </x:c>
      <x:c r="I668" s="37" t="str">
        <x:f>IF(OR(B668="",$I$6&lt;&gt;"Complete"),"",I667+E668+G668-H668)</x:f>
      </x:c>
      <x:c r="J668" s="37" t="str">
        <x:f>IF(OR(B668="",$I$6&lt;&gt;"Complete"),"",'Inputs'!$C$49)</x:f>
      </x:c>
      <x:c r="K668" s="37" t="str">
        <x:f>IF(OR(B668="",$I$6&lt;&gt;"Complete"),"",I668-J668)</x:f>
      </x:c>
      <x:c r="L668" s="61" t="str">
        <x:f>IF(OR(B668="",$I$6&lt;&gt;"Complete"),"",IF(K668&lt;0,1,0))</x:f>
      </x:c>
    </x:row>
    <x:row r="669" ht="23" customHeight="1">
      <x:c r="A669" s="2"/>
      <x:c r="B669" s="60" t="str">
        <x:f>IF($D$6&lt;&gt;"Complete","",IF('Inputs'!$C$47+599&lt;=$D$9,'Inputs'!$C$47+599,""))</x:f>
      </x:c>
      <x:c r="C669" s="37" t="str">
        <x:f>IF(B669="","",SUMIFS($D$14:$D$23,$C$14:$C$23,B669))</x:f>
      </x:c>
      <x:c r="D669" s="37" t="str">
        <x:f>IF(B669="","",SUMIFS($E$14:$E$23,$C$14:$C$23,B669))</x:f>
      </x:c>
      <x:c r="E669" s="37" t="str">
        <x:f>IF(B669="","",C669-D669)</x:f>
      </x:c>
      <x:c r="F669" s="37" t="str">
        <x:f>IF(B669="","",F668+E669)</x:f>
      </x:c>
      <x:c r="G669" s="37" t="str">
        <x:f>IF(OR(B669="",$I$6&lt;&gt;"Complete"),"",SUMIFS($D$32:$D$51,$C$32:$C$51,B669,$I$32:$I$51,"Ready"))</x:f>
      </x:c>
      <x:c r="H669" s="37" t="str">
        <x:f>IF(OR(B669="",$I$6&lt;&gt;"Complete"),"",SUMIFS($E$32:$E$51,$C$32:$C$51,B669,$I$32:$I$51,"Ready"))</x:f>
      </x:c>
      <x:c r="I669" s="37" t="str">
        <x:f>IF(OR(B669="",$I$6&lt;&gt;"Complete"),"",I668+E669+G669-H669)</x:f>
      </x:c>
      <x:c r="J669" s="37" t="str">
        <x:f>IF(OR(B669="",$I$6&lt;&gt;"Complete"),"",'Inputs'!$C$49)</x:f>
      </x:c>
      <x:c r="K669" s="37" t="str">
        <x:f>IF(OR(B669="",$I$6&lt;&gt;"Complete"),"",I669-J669)</x:f>
      </x:c>
      <x:c r="L669" s="61" t="str">
        <x:f>IF(OR(B669="",$I$6&lt;&gt;"Complete"),"",IF(K669&lt;0,1,0))</x:f>
      </x:c>
    </x:row>
    <x:row r="670" ht="23" customHeight="1">
      <x:c r="A670" s="2"/>
      <x:c r="B670" s="60" t="str">
        <x:f>IF($D$6&lt;&gt;"Complete","",IF('Inputs'!$C$47+600&lt;=$D$9,'Inputs'!$C$47+600,""))</x:f>
      </x:c>
      <x:c r="C670" s="37" t="str">
        <x:f>IF(B670="","",SUMIFS($D$14:$D$23,$C$14:$C$23,B670))</x:f>
      </x:c>
      <x:c r="D670" s="37" t="str">
        <x:f>IF(B670="","",SUMIFS($E$14:$E$23,$C$14:$C$23,B670))</x:f>
      </x:c>
      <x:c r="E670" s="37" t="str">
        <x:f>IF(B670="","",C670-D670)</x:f>
      </x:c>
      <x:c r="F670" s="37" t="str">
        <x:f>IF(B670="","",F669+E670)</x:f>
      </x:c>
      <x:c r="G670" s="37" t="str">
        <x:f>IF(OR(B670="",$I$6&lt;&gt;"Complete"),"",SUMIFS($D$32:$D$51,$C$32:$C$51,B670,$I$32:$I$51,"Ready"))</x:f>
      </x:c>
      <x:c r="H670" s="37" t="str">
        <x:f>IF(OR(B670="",$I$6&lt;&gt;"Complete"),"",SUMIFS($E$32:$E$51,$C$32:$C$51,B670,$I$32:$I$51,"Ready"))</x:f>
      </x:c>
      <x:c r="I670" s="37" t="str">
        <x:f>IF(OR(B670="",$I$6&lt;&gt;"Complete"),"",I669+E670+G670-H670)</x:f>
      </x:c>
      <x:c r="J670" s="37" t="str">
        <x:f>IF(OR(B670="",$I$6&lt;&gt;"Complete"),"",'Inputs'!$C$49)</x:f>
      </x:c>
      <x:c r="K670" s="37" t="str">
        <x:f>IF(OR(B670="",$I$6&lt;&gt;"Complete"),"",I670-J670)</x:f>
      </x:c>
      <x:c r="L670" s="61" t="str">
        <x:f>IF(OR(B670="",$I$6&lt;&gt;"Complete"),"",IF(K670&lt;0,1,0))</x:f>
      </x:c>
    </x:row>
    <x:row r="671" ht="23" customHeight="1">
      <x:c r="A671" s="2"/>
      <x:c r="B671" s="60" t="str">
        <x:f>IF($D$6&lt;&gt;"Complete","",IF('Inputs'!$C$47+601&lt;=$D$9,'Inputs'!$C$47+601,""))</x:f>
      </x:c>
      <x:c r="C671" s="37" t="str">
        <x:f>IF(B671="","",SUMIFS($D$14:$D$23,$C$14:$C$23,B671))</x:f>
      </x:c>
      <x:c r="D671" s="37" t="str">
        <x:f>IF(B671="","",SUMIFS($E$14:$E$23,$C$14:$C$23,B671))</x:f>
      </x:c>
      <x:c r="E671" s="37" t="str">
        <x:f>IF(B671="","",C671-D671)</x:f>
      </x:c>
      <x:c r="F671" s="37" t="str">
        <x:f>IF(B671="","",F670+E671)</x:f>
      </x:c>
      <x:c r="G671" s="37" t="str">
        <x:f>IF(OR(B671="",$I$6&lt;&gt;"Complete"),"",SUMIFS($D$32:$D$51,$C$32:$C$51,B671,$I$32:$I$51,"Ready"))</x:f>
      </x:c>
      <x:c r="H671" s="37" t="str">
        <x:f>IF(OR(B671="",$I$6&lt;&gt;"Complete"),"",SUMIFS($E$32:$E$51,$C$32:$C$51,B671,$I$32:$I$51,"Ready"))</x:f>
      </x:c>
      <x:c r="I671" s="37" t="str">
        <x:f>IF(OR(B671="",$I$6&lt;&gt;"Complete"),"",I670+E671+G671-H671)</x:f>
      </x:c>
      <x:c r="J671" s="37" t="str">
        <x:f>IF(OR(B671="",$I$6&lt;&gt;"Complete"),"",'Inputs'!$C$49)</x:f>
      </x:c>
      <x:c r="K671" s="37" t="str">
        <x:f>IF(OR(B671="",$I$6&lt;&gt;"Complete"),"",I671-J671)</x:f>
      </x:c>
      <x:c r="L671" s="61" t="str">
        <x:f>IF(OR(B671="",$I$6&lt;&gt;"Complete"),"",IF(K671&lt;0,1,0))</x:f>
      </x:c>
    </x:row>
    <x:row r="672" ht="23" customHeight="1">
      <x:c r="A672" s="2"/>
      <x:c r="B672" s="60" t="str">
        <x:f>IF($D$6&lt;&gt;"Complete","",IF('Inputs'!$C$47+602&lt;=$D$9,'Inputs'!$C$47+602,""))</x:f>
      </x:c>
      <x:c r="C672" s="37" t="str">
        <x:f>IF(B672="","",SUMIFS($D$14:$D$23,$C$14:$C$23,B672))</x:f>
      </x:c>
      <x:c r="D672" s="37" t="str">
        <x:f>IF(B672="","",SUMIFS($E$14:$E$23,$C$14:$C$23,B672))</x:f>
      </x:c>
      <x:c r="E672" s="37" t="str">
        <x:f>IF(B672="","",C672-D672)</x:f>
      </x:c>
      <x:c r="F672" s="37" t="str">
        <x:f>IF(B672="","",F671+E672)</x:f>
      </x:c>
      <x:c r="G672" s="37" t="str">
        <x:f>IF(OR(B672="",$I$6&lt;&gt;"Complete"),"",SUMIFS($D$32:$D$51,$C$32:$C$51,B672,$I$32:$I$51,"Ready"))</x:f>
      </x:c>
      <x:c r="H672" s="37" t="str">
        <x:f>IF(OR(B672="",$I$6&lt;&gt;"Complete"),"",SUMIFS($E$32:$E$51,$C$32:$C$51,B672,$I$32:$I$51,"Ready"))</x:f>
      </x:c>
      <x:c r="I672" s="37" t="str">
        <x:f>IF(OR(B672="",$I$6&lt;&gt;"Complete"),"",I671+E672+G672-H672)</x:f>
      </x:c>
      <x:c r="J672" s="37" t="str">
        <x:f>IF(OR(B672="",$I$6&lt;&gt;"Complete"),"",'Inputs'!$C$49)</x:f>
      </x:c>
      <x:c r="K672" s="37" t="str">
        <x:f>IF(OR(B672="",$I$6&lt;&gt;"Complete"),"",I672-J672)</x:f>
      </x:c>
      <x:c r="L672" s="61" t="str">
        <x:f>IF(OR(B672="",$I$6&lt;&gt;"Complete"),"",IF(K672&lt;0,1,0))</x:f>
      </x:c>
    </x:row>
    <x:row r="673" ht="23" customHeight="1">
      <x:c r="A673" s="2"/>
      <x:c r="B673" s="60" t="str">
        <x:f>IF($D$6&lt;&gt;"Complete","",IF('Inputs'!$C$47+603&lt;=$D$9,'Inputs'!$C$47+603,""))</x:f>
      </x:c>
      <x:c r="C673" s="37" t="str">
        <x:f>IF(B673="","",SUMIFS($D$14:$D$23,$C$14:$C$23,B673))</x:f>
      </x:c>
      <x:c r="D673" s="37" t="str">
        <x:f>IF(B673="","",SUMIFS($E$14:$E$23,$C$14:$C$23,B673))</x:f>
      </x:c>
      <x:c r="E673" s="37" t="str">
        <x:f>IF(B673="","",C673-D673)</x:f>
      </x:c>
      <x:c r="F673" s="37" t="str">
        <x:f>IF(B673="","",F672+E673)</x:f>
      </x:c>
      <x:c r="G673" s="37" t="str">
        <x:f>IF(OR(B673="",$I$6&lt;&gt;"Complete"),"",SUMIFS($D$32:$D$51,$C$32:$C$51,B673,$I$32:$I$51,"Ready"))</x:f>
      </x:c>
      <x:c r="H673" s="37" t="str">
        <x:f>IF(OR(B673="",$I$6&lt;&gt;"Complete"),"",SUMIFS($E$32:$E$51,$C$32:$C$51,B673,$I$32:$I$51,"Ready"))</x:f>
      </x:c>
      <x:c r="I673" s="37" t="str">
        <x:f>IF(OR(B673="",$I$6&lt;&gt;"Complete"),"",I672+E673+G673-H673)</x:f>
      </x:c>
      <x:c r="J673" s="37" t="str">
        <x:f>IF(OR(B673="",$I$6&lt;&gt;"Complete"),"",'Inputs'!$C$49)</x:f>
      </x:c>
      <x:c r="K673" s="37" t="str">
        <x:f>IF(OR(B673="",$I$6&lt;&gt;"Complete"),"",I673-J673)</x:f>
      </x:c>
      <x:c r="L673" s="61" t="str">
        <x:f>IF(OR(B673="",$I$6&lt;&gt;"Complete"),"",IF(K673&lt;0,1,0))</x:f>
      </x:c>
    </x:row>
    <x:row r="674" ht="23" customHeight="1">
      <x:c r="A674" s="2"/>
      <x:c r="B674" s="60" t="str">
        <x:f>IF($D$6&lt;&gt;"Complete","",IF('Inputs'!$C$47+604&lt;=$D$9,'Inputs'!$C$47+604,""))</x:f>
      </x:c>
      <x:c r="C674" s="37" t="str">
        <x:f>IF(B674="","",SUMIFS($D$14:$D$23,$C$14:$C$23,B674))</x:f>
      </x:c>
      <x:c r="D674" s="37" t="str">
        <x:f>IF(B674="","",SUMIFS($E$14:$E$23,$C$14:$C$23,B674))</x:f>
      </x:c>
      <x:c r="E674" s="37" t="str">
        <x:f>IF(B674="","",C674-D674)</x:f>
      </x:c>
      <x:c r="F674" s="37" t="str">
        <x:f>IF(B674="","",F673+E674)</x:f>
      </x:c>
      <x:c r="G674" s="37" t="str">
        <x:f>IF(OR(B674="",$I$6&lt;&gt;"Complete"),"",SUMIFS($D$32:$D$51,$C$32:$C$51,B674,$I$32:$I$51,"Ready"))</x:f>
      </x:c>
      <x:c r="H674" s="37" t="str">
        <x:f>IF(OR(B674="",$I$6&lt;&gt;"Complete"),"",SUMIFS($E$32:$E$51,$C$32:$C$51,B674,$I$32:$I$51,"Ready"))</x:f>
      </x:c>
      <x:c r="I674" s="37" t="str">
        <x:f>IF(OR(B674="",$I$6&lt;&gt;"Complete"),"",I673+E674+G674-H674)</x:f>
      </x:c>
      <x:c r="J674" s="37" t="str">
        <x:f>IF(OR(B674="",$I$6&lt;&gt;"Complete"),"",'Inputs'!$C$49)</x:f>
      </x:c>
      <x:c r="K674" s="37" t="str">
        <x:f>IF(OR(B674="",$I$6&lt;&gt;"Complete"),"",I674-J674)</x:f>
      </x:c>
      <x:c r="L674" s="61" t="str">
        <x:f>IF(OR(B674="",$I$6&lt;&gt;"Complete"),"",IF(K674&lt;0,1,0))</x:f>
      </x:c>
    </x:row>
    <x:row r="675" ht="23" customHeight="1">
      <x:c r="A675" s="2"/>
      <x:c r="B675" s="60" t="str">
        <x:f>IF($D$6&lt;&gt;"Complete","",IF('Inputs'!$C$47+605&lt;=$D$9,'Inputs'!$C$47+605,""))</x:f>
      </x:c>
      <x:c r="C675" s="37" t="str">
        <x:f>IF(B675="","",SUMIFS($D$14:$D$23,$C$14:$C$23,B675))</x:f>
      </x:c>
      <x:c r="D675" s="37" t="str">
        <x:f>IF(B675="","",SUMIFS($E$14:$E$23,$C$14:$C$23,B675))</x:f>
      </x:c>
      <x:c r="E675" s="37" t="str">
        <x:f>IF(B675="","",C675-D675)</x:f>
      </x:c>
      <x:c r="F675" s="37" t="str">
        <x:f>IF(B675="","",F674+E675)</x:f>
      </x:c>
      <x:c r="G675" s="37" t="str">
        <x:f>IF(OR(B675="",$I$6&lt;&gt;"Complete"),"",SUMIFS($D$32:$D$51,$C$32:$C$51,B675,$I$32:$I$51,"Ready"))</x:f>
      </x:c>
      <x:c r="H675" s="37" t="str">
        <x:f>IF(OR(B675="",$I$6&lt;&gt;"Complete"),"",SUMIFS($E$32:$E$51,$C$32:$C$51,B675,$I$32:$I$51,"Ready"))</x:f>
      </x:c>
      <x:c r="I675" s="37" t="str">
        <x:f>IF(OR(B675="",$I$6&lt;&gt;"Complete"),"",I674+E675+G675-H675)</x:f>
      </x:c>
      <x:c r="J675" s="37" t="str">
        <x:f>IF(OR(B675="",$I$6&lt;&gt;"Complete"),"",'Inputs'!$C$49)</x:f>
      </x:c>
      <x:c r="K675" s="37" t="str">
        <x:f>IF(OR(B675="",$I$6&lt;&gt;"Complete"),"",I675-J675)</x:f>
      </x:c>
      <x:c r="L675" s="61" t="str">
        <x:f>IF(OR(B675="",$I$6&lt;&gt;"Complete"),"",IF(K675&lt;0,1,0))</x:f>
      </x:c>
    </x:row>
    <x:row r="676" ht="23" customHeight="1">
      <x:c r="A676" s="2"/>
      <x:c r="B676" s="60" t="str">
        <x:f>IF($D$6&lt;&gt;"Complete","",IF('Inputs'!$C$47+606&lt;=$D$9,'Inputs'!$C$47+606,""))</x:f>
      </x:c>
      <x:c r="C676" s="37" t="str">
        <x:f>IF(B676="","",SUMIFS($D$14:$D$23,$C$14:$C$23,B676))</x:f>
      </x:c>
      <x:c r="D676" s="37" t="str">
        <x:f>IF(B676="","",SUMIFS($E$14:$E$23,$C$14:$C$23,B676))</x:f>
      </x:c>
      <x:c r="E676" s="37" t="str">
        <x:f>IF(B676="","",C676-D676)</x:f>
      </x:c>
      <x:c r="F676" s="37" t="str">
        <x:f>IF(B676="","",F675+E676)</x:f>
      </x:c>
      <x:c r="G676" s="37" t="str">
        <x:f>IF(OR(B676="",$I$6&lt;&gt;"Complete"),"",SUMIFS($D$32:$D$51,$C$32:$C$51,B676,$I$32:$I$51,"Ready"))</x:f>
      </x:c>
      <x:c r="H676" s="37" t="str">
        <x:f>IF(OR(B676="",$I$6&lt;&gt;"Complete"),"",SUMIFS($E$32:$E$51,$C$32:$C$51,B676,$I$32:$I$51,"Ready"))</x:f>
      </x:c>
      <x:c r="I676" s="37" t="str">
        <x:f>IF(OR(B676="",$I$6&lt;&gt;"Complete"),"",I675+E676+G676-H676)</x:f>
      </x:c>
      <x:c r="J676" s="37" t="str">
        <x:f>IF(OR(B676="",$I$6&lt;&gt;"Complete"),"",'Inputs'!$C$49)</x:f>
      </x:c>
      <x:c r="K676" s="37" t="str">
        <x:f>IF(OR(B676="",$I$6&lt;&gt;"Complete"),"",I676-J676)</x:f>
      </x:c>
      <x:c r="L676" s="61" t="str">
        <x:f>IF(OR(B676="",$I$6&lt;&gt;"Complete"),"",IF(K676&lt;0,1,0))</x:f>
      </x:c>
    </x:row>
    <x:row r="677" ht="23" customHeight="1">
      <x:c r="A677" s="2"/>
      <x:c r="B677" s="60" t="str">
        <x:f>IF($D$6&lt;&gt;"Complete","",IF('Inputs'!$C$47+607&lt;=$D$9,'Inputs'!$C$47+607,""))</x:f>
      </x:c>
      <x:c r="C677" s="37" t="str">
        <x:f>IF(B677="","",SUMIFS($D$14:$D$23,$C$14:$C$23,B677))</x:f>
      </x:c>
      <x:c r="D677" s="37" t="str">
        <x:f>IF(B677="","",SUMIFS($E$14:$E$23,$C$14:$C$23,B677))</x:f>
      </x:c>
      <x:c r="E677" s="37" t="str">
        <x:f>IF(B677="","",C677-D677)</x:f>
      </x:c>
      <x:c r="F677" s="37" t="str">
        <x:f>IF(B677="","",F676+E677)</x:f>
      </x:c>
      <x:c r="G677" s="37" t="str">
        <x:f>IF(OR(B677="",$I$6&lt;&gt;"Complete"),"",SUMIFS($D$32:$D$51,$C$32:$C$51,B677,$I$32:$I$51,"Ready"))</x:f>
      </x:c>
      <x:c r="H677" s="37" t="str">
        <x:f>IF(OR(B677="",$I$6&lt;&gt;"Complete"),"",SUMIFS($E$32:$E$51,$C$32:$C$51,B677,$I$32:$I$51,"Ready"))</x:f>
      </x:c>
      <x:c r="I677" s="37" t="str">
        <x:f>IF(OR(B677="",$I$6&lt;&gt;"Complete"),"",I676+E677+G677-H677)</x:f>
      </x:c>
      <x:c r="J677" s="37" t="str">
        <x:f>IF(OR(B677="",$I$6&lt;&gt;"Complete"),"",'Inputs'!$C$49)</x:f>
      </x:c>
      <x:c r="K677" s="37" t="str">
        <x:f>IF(OR(B677="",$I$6&lt;&gt;"Complete"),"",I677-J677)</x:f>
      </x:c>
      <x:c r="L677" s="61" t="str">
        <x:f>IF(OR(B677="",$I$6&lt;&gt;"Complete"),"",IF(K677&lt;0,1,0))</x:f>
      </x:c>
    </x:row>
    <x:row r="678" ht="23" customHeight="1">
      <x:c r="A678" s="2"/>
      <x:c r="B678" s="60" t="str">
        <x:f>IF($D$6&lt;&gt;"Complete","",IF('Inputs'!$C$47+608&lt;=$D$9,'Inputs'!$C$47+608,""))</x:f>
      </x:c>
      <x:c r="C678" s="37" t="str">
        <x:f>IF(B678="","",SUMIFS($D$14:$D$23,$C$14:$C$23,B678))</x:f>
      </x:c>
      <x:c r="D678" s="37" t="str">
        <x:f>IF(B678="","",SUMIFS($E$14:$E$23,$C$14:$C$23,B678))</x:f>
      </x:c>
      <x:c r="E678" s="37" t="str">
        <x:f>IF(B678="","",C678-D678)</x:f>
      </x:c>
      <x:c r="F678" s="37" t="str">
        <x:f>IF(B678="","",F677+E678)</x:f>
      </x:c>
      <x:c r="G678" s="37" t="str">
        <x:f>IF(OR(B678="",$I$6&lt;&gt;"Complete"),"",SUMIFS($D$32:$D$51,$C$32:$C$51,B678,$I$32:$I$51,"Ready"))</x:f>
      </x:c>
      <x:c r="H678" s="37" t="str">
        <x:f>IF(OR(B678="",$I$6&lt;&gt;"Complete"),"",SUMIFS($E$32:$E$51,$C$32:$C$51,B678,$I$32:$I$51,"Ready"))</x:f>
      </x:c>
      <x:c r="I678" s="37" t="str">
        <x:f>IF(OR(B678="",$I$6&lt;&gt;"Complete"),"",I677+E678+G678-H678)</x:f>
      </x:c>
      <x:c r="J678" s="37" t="str">
        <x:f>IF(OR(B678="",$I$6&lt;&gt;"Complete"),"",'Inputs'!$C$49)</x:f>
      </x:c>
      <x:c r="K678" s="37" t="str">
        <x:f>IF(OR(B678="",$I$6&lt;&gt;"Complete"),"",I678-J678)</x:f>
      </x:c>
      <x:c r="L678" s="61" t="str">
        <x:f>IF(OR(B678="",$I$6&lt;&gt;"Complete"),"",IF(K678&lt;0,1,0))</x:f>
      </x:c>
    </x:row>
    <x:row r="679" ht="23" customHeight="1">
      <x:c r="A679" s="2"/>
      <x:c r="B679" s="60" t="str">
        <x:f>IF($D$6&lt;&gt;"Complete","",IF('Inputs'!$C$47+609&lt;=$D$9,'Inputs'!$C$47+609,""))</x:f>
      </x:c>
      <x:c r="C679" s="37" t="str">
        <x:f>IF(B679="","",SUMIFS($D$14:$D$23,$C$14:$C$23,B679))</x:f>
      </x:c>
      <x:c r="D679" s="37" t="str">
        <x:f>IF(B679="","",SUMIFS($E$14:$E$23,$C$14:$C$23,B679))</x:f>
      </x:c>
      <x:c r="E679" s="37" t="str">
        <x:f>IF(B679="","",C679-D679)</x:f>
      </x:c>
      <x:c r="F679" s="37" t="str">
        <x:f>IF(B679="","",F678+E679)</x:f>
      </x:c>
      <x:c r="G679" s="37" t="str">
        <x:f>IF(OR(B679="",$I$6&lt;&gt;"Complete"),"",SUMIFS($D$32:$D$51,$C$32:$C$51,B679,$I$32:$I$51,"Ready"))</x:f>
      </x:c>
      <x:c r="H679" s="37" t="str">
        <x:f>IF(OR(B679="",$I$6&lt;&gt;"Complete"),"",SUMIFS($E$32:$E$51,$C$32:$C$51,B679,$I$32:$I$51,"Ready"))</x:f>
      </x:c>
      <x:c r="I679" s="37" t="str">
        <x:f>IF(OR(B679="",$I$6&lt;&gt;"Complete"),"",I678+E679+G679-H679)</x:f>
      </x:c>
      <x:c r="J679" s="37" t="str">
        <x:f>IF(OR(B679="",$I$6&lt;&gt;"Complete"),"",'Inputs'!$C$49)</x:f>
      </x:c>
      <x:c r="K679" s="37" t="str">
        <x:f>IF(OR(B679="",$I$6&lt;&gt;"Complete"),"",I679-J679)</x:f>
      </x:c>
      <x:c r="L679" s="61" t="str">
        <x:f>IF(OR(B679="",$I$6&lt;&gt;"Complete"),"",IF(K679&lt;0,1,0))</x:f>
      </x:c>
    </x:row>
    <x:row r="680" ht="23" customHeight="1">
      <x:c r="A680" s="2"/>
      <x:c r="B680" s="60" t="str">
        <x:f>IF($D$6&lt;&gt;"Complete","",IF('Inputs'!$C$47+610&lt;=$D$9,'Inputs'!$C$47+610,""))</x:f>
      </x:c>
      <x:c r="C680" s="37" t="str">
        <x:f>IF(B680="","",SUMIFS($D$14:$D$23,$C$14:$C$23,B680))</x:f>
      </x:c>
      <x:c r="D680" s="37" t="str">
        <x:f>IF(B680="","",SUMIFS($E$14:$E$23,$C$14:$C$23,B680))</x:f>
      </x:c>
      <x:c r="E680" s="37" t="str">
        <x:f>IF(B680="","",C680-D680)</x:f>
      </x:c>
      <x:c r="F680" s="37" t="str">
        <x:f>IF(B680="","",F679+E680)</x:f>
      </x:c>
      <x:c r="G680" s="37" t="str">
        <x:f>IF(OR(B680="",$I$6&lt;&gt;"Complete"),"",SUMIFS($D$32:$D$51,$C$32:$C$51,B680,$I$32:$I$51,"Ready"))</x:f>
      </x:c>
      <x:c r="H680" s="37" t="str">
        <x:f>IF(OR(B680="",$I$6&lt;&gt;"Complete"),"",SUMIFS($E$32:$E$51,$C$32:$C$51,B680,$I$32:$I$51,"Ready"))</x:f>
      </x:c>
      <x:c r="I680" s="37" t="str">
        <x:f>IF(OR(B680="",$I$6&lt;&gt;"Complete"),"",I679+E680+G680-H680)</x:f>
      </x:c>
      <x:c r="J680" s="37" t="str">
        <x:f>IF(OR(B680="",$I$6&lt;&gt;"Complete"),"",'Inputs'!$C$49)</x:f>
      </x:c>
      <x:c r="K680" s="37" t="str">
        <x:f>IF(OR(B680="",$I$6&lt;&gt;"Complete"),"",I680-J680)</x:f>
      </x:c>
      <x:c r="L680" s="61" t="str">
        <x:f>IF(OR(B680="",$I$6&lt;&gt;"Complete"),"",IF(K680&lt;0,1,0))</x:f>
      </x:c>
    </x:row>
    <x:row r="681" ht="23" customHeight="1">
      <x:c r="A681" s="2"/>
      <x:c r="B681" s="60" t="str">
        <x:f>IF($D$6&lt;&gt;"Complete","",IF('Inputs'!$C$47+611&lt;=$D$9,'Inputs'!$C$47+611,""))</x:f>
      </x:c>
      <x:c r="C681" s="37" t="str">
        <x:f>IF(B681="","",SUMIFS($D$14:$D$23,$C$14:$C$23,B681))</x:f>
      </x:c>
      <x:c r="D681" s="37" t="str">
        <x:f>IF(B681="","",SUMIFS($E$14:$E$23,$C$14:$C$23,B681))</x:f>
      </x:c>
      <x:c r="E681" s="37" t="str">
        <x:f>IF(B681="","",C681-D681)</x:f>
      </x:c>
      <x:c r="F681" s="37" t="str">
        <x:f>IF(B681="","",F680+E681)</x:f>
      </x:c>
      <x:c r="G681" s="37" t="str">
        <x:f>IF(OR(B681="",$I$6&lt;&gt;"Complete"),"",SUMIFS($D$32:$D$51,$C$32:$C$51,B681,$I$32:$I$51,"Ready"))</x:f>
      </x:c>
      <x:c r="H681" s="37" t="str">
        <x:f>IF(OR(B681="",$I$6&lt;&gt;"Complete"),"",SUMIFS($E$32:$E$51,$C$32:$C$51,B681,$I$32:$I$51,"Ready"))</x:f>
      </x:c>
      <x:c r="I681" s="37" t="str">
        <x:f>IF(OR(B681="",$I$6&lt;&gt;"Complete"),"",I680+E681+G681-H681)</x:f>
      </x:c>
      <x:c r="J681" s="37" t="str">
        <x:f>IF(OR(B681="",$I$6&lt;&gt;"Complete"),"",'Inputs'!$C$49)</x:f>
      </x:c>
      <x:c r="K681" s="37" t="str">
        <x:f>IF(OR(B681="",$I$6&lt;&gt;"Complete"),"",I681-J681)</x:f>
      </x:c>
      <x:c r="L681" s="61" t="str">
        <x:f>IF(OR(B681="",$I$6&lt;&gt;"Complete"),"",IF(K681&lt;0,1,0))</x:f>
      </x:c>
    </x:row>
    <x:row r="682" ht="23" customHeight="1">
      <x:c r="A682" s="2"/>
      <x:c r="B682" s="60" t="str">
        <x:f>IF($D$6&lt;&gt;"Complete","",IF('Inputs'!$C$47+612&lt;=$D$9,'Inputs'!$C$47+612,""))</x:f>
      </x:c>
      <x:c r="C682" s="37" t="str">
        <x:f>IF(B682="","",SUMIFS($D$14:$D$23,$C$14:$C$23,B682))</x:f>
      </x:c>
      <x:c r="D682" s="37" t="str">
        <x:f>IF(B682="","",SUMIFS($E$14:$E$23,$C$14:$C$23,B682))</x:f>
      </x:c>
      <x:c r="E682" s="37" t="str">
        <x:f>IF(B682="","",C682-D682)</x:f>
      </x:c>
      <x:c r="F682" s="37" t="str">
        <x:f>IF(B682="","",F681+E682)</x:f>
      </x:c>
      <x:c r="G682" s="37" t="str">
        <x:f>IF(OR(B682="",$I$6&lt;&gt;"Complete"),"",SUMIFS($D$32:$D$51,$C$32:$C$51,B682,$I$32:$I$51,"Ready"))</x:f>
      </x:c>
      <x:c r="H682" s="37" t="str">
        <x:f>IF(OR(B682="",$I$6&lt;&gt;"Complete"),"",SUMIFS($E$32:$E$51,$C$32:$C$51,B682,$I$32:$I$51,"Ready"))</x:f>
      </x:c>
      <x:c r="I682" s="37" t="str">
        <x:f>IF(OR(B682="",$I$6&lt;&gt;"Complete"),"",I681+E682+G682-H682)</x:f>
      </x:c>
      <x:c r="J682" s="37" t="str">
        <x:f>IF(OR(B682="",$I$6&lt;&gt;"Complete"),"",'Inputs'!$C$49)</x:f>
      </x:c>
      <x:c r="K682" s="37" t="str">
        <x:f>IF(OR(B682="",$I$6&lt;&gt;"Complete"),"",I682-J682)</x:f>
      </x:c>
      <x:c r="L682" s="61" t="str">
        <x:f>IF(OR(B682="",$I$6&lt;&gt;"Complete"),"",IF(K682&lt;0,1,0))</x:f>
      </x:c>
    </x:row>
    <x:row r="683" ht="23" customHeight="1">
      <x:c r="A683" s="2"/>
      <x:c r="B683" s="60" t="str">
        <x:f>IF($D$6&lt;&gt;"Complete","",IF('Inputs'!$C$47+613&lt;=$D$9,'Inputs'!$C$47+613,""))</x:f>
      </x:c>
      <x:c r="C683" s="37" t="str">
        <x:f>IF(B683="","",SUMIFS($D$14:$D$23,$C$14:$C$23,B683))</x:f>
      </x:c>
      <x:c r="D683" s="37" t="str">
        <x:f>IF(B683="","",SUMIFS($E$14:$E$23,$C$14:$C$23,B683))</x:f>
      </x:c>
      <x:c r="E683" s="37" t="str">
        <x:f>IF(B683="","",C683-D683)</x:f>
      </x:c>
      <x:c r="F683" s="37" t="str">
        <x:f>IF(B683="","",F682+E683)</x:f>
      </x:c>
      <x:c r="G683" s="37" t="str">
        <x:f>IF(OR(B683="",$I$6&lt;&gt;"Complete"),"",SUMIFS($D$32:$D$51,$C$32:$C$51,B683,$I$32:$I$51,"Ready"))</x:f>
      </x:c>
      <x:c r="H683" s="37" t="str">
        <x:f>IF(OR(B683="",$I$6&lt;&gt;"Complete"),"",SUMIFS($E$32:$E$51,$C$32:$C$51,B683,$I$32:$I$51,"Ready"))</x:f>
      </x:c>
      <x:c r="I683" s="37" t="str">
        <x:f>IF(OR(B683="",$I$6&lt;&gt;"Complete"),"",I682+E683+G683-H683)</x:f>
      </x:c>
      <x:c r="J683" s="37" t="str">
        <x:f>IF(OR(B683="",$I$6&lt;&gt;"Complete"),"",'Inputs'!$C$49)</x:f>
      </x:c>
      <x:c r="K683" s="37" t="str">
        <x:f>IF(OR(B683="",$I$6&lt;&gt;"Complete"),"",I683-J683)</x:f>
      </x:c>
      <x:c r="L683" s="61" t="str">
        <x:f>IF(OR(B683="",$I$6&lt;&gt;"Complete"),"",IF(K683&lt;0,1,0))</x:f>
      </x:c>
    </x:row>
    <x:row r="684" ht="23" customHeight="1">
      <x:c r="A684" s="2"/>
      <x:c r="B684" s="60" t="str">
        <x:f>IF($D$6&lt;&gt;"Complete","",IF('Inputs'!$C$47+614&lt;=$D$9,'Inputs'!$C$47+614,""))</x:f>
      </x:c>
      <x:c r="C684" s="37" t="str">
        <x:f>IF(B684="","",SUMIFS($D$14:$D$23,$C$14:$C$23,B684))</x:f>
      </x:c>
      <x:c r="D684" s="37" t="str">
        <x:f>IF(B684="","",SUMIFS($E$14:$E$23,$C$14:$C$23,B684))</x:f>
      </x:c>
      <x:c r="E684" s="37" t="str">
        <x:f>IF(B684="","",C684-D684)</x:f>
      </x:c>
      <x:c r="F684" s="37" t="str">
        <x:f>IF(B684="","",F683+E684)</x:f>
      </x:c>
      <x:c r="G684" s="37" t="str">
        <x:f>IF(OR(B684="",$I$6&lt;&gt;"Complete"),"",SUMIFS($D$32:$D$51,$C$32:$C$51,B684,$I$32:$I$51,"Ready"))</x:f>
      </x:c>
      <x:c r="H684" s="37" t="str">
        <x:f>IF(OR(B684="",$I$6&lt;&gt;"Complete"),"",SUMIFS($E$32:$E$51,$C$32:$C$51,B684,$I$32:$I$51,"Ready"))</x:f>
      </x:c>
      <x:c r="I684" s="37" t="str">
        <x:f>IF(OR(B684="",$I$6&lt;&gt;"Complete"),"",I683+E684+G684-H684)</x:f>
      </x:c>
      <x:c r="J684" s="37" t="str">
        <x:f>IF(OR(B684="",$I$6&lt;&gt;"Complete"),"",'Inputs'!$C$49)</x:f>
      </x:c>
      <x:c r="K684" s="37" t="str">
        <x:f>IF(OR(B684="",$I$6&lt;&gt;"Complete"),"",I684-J684)</x:f>
      </x:c>
      <x:c r="L684" s="61" t="str">
        <x:f>IF(OR(B684="",$I$6&lt;&gt;"Complete"),"",IF(K684&lt;0,1,0))</x:f>
      </x:c>
    </x:row>
    <x:row r="685" ht="23" customHeight="1">
      <x:c r="A685" s="2"/>
      <x:c r="B685" s="60" t="str">
        <x:f>IF($D$6&lt;&gt;"Complete","",IF('Inputs'!$C$47+615&lt;=$D$9,'Inputs'!$C$47+615,""))</x:f>
      </x:c>
      <x:c r="C685" s="37" t="str">
        <x:f>IF(B685="","",SUMIFS($D$14:$D$23,$C$14:$C$23,B685))</x:f>
      </x:c>
      <x:c r="D685" s="37" t="str">
        <x:f>IF(B685="","",SUMIFS($E$14:$E$23,$C$14:$C$23,B685))</x:f>
      </x:c>
      <x:c r="E685" s="37" t="str">
        <x:f>IF(B685="","",C685-D685)</x:f>
      </x:c>
      <x:c r="F685" s="37" t="str">
        <x:f>IF(B685="","",F684+E685)</x:f>
      </x:c>
      <x:c r="G685" s="37" t="str">
        <x:f>IF(OR(B685="",$I$6&lt;&gt;"Complete"),"",SUMIFS($D$32:$D$51,$C$32:$C$51,B685,$I$32:$I$51,"Ready"))</x:f>
      </x:c>
      <x:c r="H685" s="37" t="str">
        <x:f>IF(OR(B685="",$I$6&lt;&gt;"Complete"),"",SUMIFS($E$32:$E$51,$C$32:$C$51,B685,$I$32:$I$51,"Ready"))</x:f>
      </x:c>
      <x:c r="I685" s="37" t="str">
        <x:f>IF(OR(B685="",$I$6&lt;&gt;"Complete"),"",I684+E685+G685-H685)</x:f>
      </x:c>
      <x:c r="J685" s="37" t="str">
        <x:f>IF(OR(B685="",$I$6&lt;&gt;"Complete"),"",'Inputs'!$C$49)</x:f>
      </x:c>
      <x:c r="K685" s="37" t="str">
        <x:f>IF(OR(B685="",$I$6&lt;&gt;"Complete"),"",I685-J685)</x:f>
      </x:c>
      <x:c r="L685" s="61" t="str">
        <x:f>IF(OR(B685="",$I$6&lt;&gt;"Complete"),"",IF(K685&lt;0,1,0))</x:f>
      </x:c>
    </x:row>
    <x:row r="686" ht="23" customHeight="1">
      <x:c r="A686" s="2"/>
      <x:c r="B686" s="60" t="str">
        <x:f>IF($D$6&lt;&gt;"Complete","",IF('Inputs'!$C$47+616&lt;=$D$9,'Inputs'!$C$47+616,""))</x:f>
      </x:c>
      <x:c r="C686" s="37" t="str">
        <x:f>IF(B686="","",SUMIFS($D$14:$D$23,$C$14:$C$23,B686))</x:f>
      </x:c>
      <x:c r="D686" s="37" t="str">
        <x:f>IF(B686="","",SUMIFS($E$14:$E$23,$C$14:$C$23,B686))</x:f>
      </x:c>
      <x:c r="E686" s="37" t="str">
        <x:f>IF(B686="","",C686-D686)</x:f>
      </x:c>
      <x:c r="F686" s="37" t="str">
        <x:f>IF(B686="","",F685+E686)</x:f>
      </x:c>
      <x:c r="G686" s="37" t="str">
        <x:f>IF(OR(B686="",$I$6&lt;&gt;"Complete"),"",SUMIFS($D$32:$D$51,$C$32:$C$51,B686,$I$32:$I$51,"Ready"))</x:f>
      </x:c>
      <x:c r="H686" s="37" t="str">
        <x:f>IF(OR(B686="",$I$6&lt;&gt;"Complete"),"",SUMIFS($E$32:$E$51,$C$32:$C$51,B686,$I$32:$I$51,"Ready"))</x:f>
      </x:c>
      <x:c r="I686" s="37" t="str">
        <x:f>IF(OR(B686="",$I$6&lt;&gt;"Complete"),"",I685+E686+G686-H686)</x:f>
      </x:c>
      <x:c r="J686" s="37" t="str">
        <x:f>IF(OR(B686="",$I$6&lt;&gt;"Complete"),"",'Inputs'!$C$49)</x:f>
      </x:c>
      <x:c r="K686" s="37" t="str">
        <x:f>IF(OR(B686="",$I$6&lt;&gt;"Complete"),"",I686-J686)</x:f>
      </x:c>
      <x:c r="L686" s="61" t="str">
        <x:f>IF(OR(B686="",$I$6&lt;&gt;"Complete"),"",IF(K686&lt;0,1,0))</x:f>
      </x:c>
    </x:row>
    <x:row r="687" ht="23" customHeight="1">
      <x:c r="A687" s="2"/>
      <x:c r="B687" s="60" t="str">
        <x:f>IF($D$6&lt;&gt;"Complete","",IF('Inputs'!$C$47+617&lt;=$D$9,'Inputs'!$C$47+617,""))</x:f>
      </x:c>
      <x:c r="C687" s="37" t="str">
        <x:f>IF(B687="","",SUMIFS($D$14:$D$23,$C$14:$C$23,B687))</x:f>
      </x:c>
      <x:c r="D687" s="37" t="str">
        <x:f>IF(B687="","",SUMIFS($E$14:$E$23,$C$14:$C$23,B687))</x:f>
      </x:c>
      <x:c r="E687" s="37" t="str">
        <x:f>IF(B687="","",C687-D687)</x:f>
      </x:c>
      <x:c r="F687" s="37" t="str">
        <x:f>IF(B687="","",F686+E687)</x:f>
      </x:c>
      <x:c r="G687" s="37" t="str">
        <x:f>IF(OR(B687="",$I$6&lt;&gt;"Complete"),"",SUMIFS($D$32:$D$51,$C$32:$C$51,B687,$I$32:$I$51,"Ready"))</x:f>
      </x:c>
      <x:c r="H687" s="37" t="str">
        <x:f>IF(OR(B687="",$I$6&lt;&gt;"Complete"),"",SUMIFS($E$32:$E$51,$C$32:$C$51,B687,$I$32:$I$51,"Ready"))</x:f>
      </x:c>
      <x:c r="I687" s="37" t="str">
        <x:f>IF(OR(B687="",$I$6&lt;&gt;"Complete"),"",I686+E687+G687-H687)</x:f>
      </x:c>
      <x:c r="J687" s="37" t="str">
        <x:f>IF(OR(B687="",$I$6&lt;&gt;"Complete"),"",'Inputs'!$C$49)</x:f>
      </x:c>
      <x:c r="K687" s="37" t="str">
        <x:f>IF(OR(B687="",$I$6&lt;&gt;"Complete"),"",I687-J687)</x:f>
      </x:c>
      <x:c r="L687" s="61" t="str">
        <x:f>IF(OR(B687="",$I$6&lt;&gt;"Complete"),"",IF(K687&lt;0,1,0))</x:f>
      </x:c>
    </x:row>
    <x:row r="688" ht="23" customHeight="1">
      <x:c r="A688" s="2"/>
      <x:c r="B688" s="60" t="str">
        <x:f>IF($D$6&lt;&gt;"Complete","",IF('Inputs'!$C$47+618&lt;=$D$9,'Inputs'!$C$47+618,""))</x:f>
      </x:c>
      <x:c r="C688" s="37" t="str">
        <x:f>IF(B688="","",SUMIFS($D$14:$D$23,$C$14:$C$23,B688))</x:f>
      </x:c>
      <x:c r="D688" s="37" t="str">
        <x:f>IF(B688="","",SUMIFS($E$14:$E$23,$C$14:$C$23,B688))</x:f>
      </x:c>
      <x:c r="E688" s="37" t="str">
        <x:f>IF(B688="","",C688-D688)</x:f>
      </x:c>
      <x:c r="F688" s="37" t="str">
        <x:f>IF(B688="","",F687+E688)</x:f>
      </x:c>
      <x:c r="G688" s="37" t="str">
        <x:f>IF(OR(B688="",$I$6&lt;&gt;"Complete"),"",SUMIFS($D$32:$D$51,$C$32:$C$51,B688,$I$32:$I$51,"Ready"))</x:f>
      </x:c>
      <x:c r="H688" s="37" t="str">
        <x:f>IF(OR(B688="",$I$6&lt;&gt;"Complete"),"",SUMIFS($E$32:$E$51,$C$32:$C$51,B688,$I$32:$I$51,"Ready"))</x:f>
      </x:c>
      <x:c r="I688" s="37" t="str">
        <x:f>IF(OR(B688="",$I$6&lt;&gt;"Complete"),"",I687+E688+G688-H688)</x:f>
      </x:c>
      <x:c r="J688" s="37" t="str">
        <x:f>IF(OR(B688="",$I$6&lt;&gt;"Complete"),"",'Inputs'!$C$49)</x:f>
      </x:c>
      <x:c r="K688" s="37" t="str">
        <x:f>IF(OR(B688="",$I$6&lt;&gt;"Complete"),"",I688-J688)</x:f>
      </x:c>
      <x:c r="L688" s="61" t="str">
        <x:f>IF(OR(B688="",$I$6&lt;&gt;"Complete"),"",IF(K688&lt;0,1,0))</x:f>
      </x:c>
    </x:row>
    <x:row r="689" ht="23" customHeight="1">
      <x:c r="A689" s="2"/>
      <x:c r="B689" s="60" t="str">
        <x:f>IF($D$6&lt;&gt;"Complete","",IF('Inputs'!$C$47+619&lt;=$D$9,'Inputs'!$C$47+619,""))</x:f>
      </x:c>
      <x:c r="C689" s="37" t="str">
        <x:f>IF(B689="","",SUMIFS($D$14:$D$23,$C$14:$C$23,B689))</x:f>
      </x:c>
      <x:c r="D689" s="37" t="str">
        <x:f>IF(B689="","",SUMIFS($E$14:$E$23,$C$14:$C$23,B689))</x:f>
      </x:c>
      <x:c r="E689" s="37" t="str">
        <x:f>IF(B689="","",C689-D689)</x:f>
      </x:c>
      <x:c r="F689" s="37" t="str">
        <x:f>IF(B689="","",F688+E689)</x:f>
      </x:c>
      <x:c r="G689" s="37" t="str">
        <x:f>IF(OR(B689="",$I$6&lt;&gt;"Complete"),"",SUMIFS($D$32:$D$51,$C$32:$C$51,B689,$I$32:$I$51,"Ready"))</x:f>
      </x:c>
      <x:c r="H689" s="37" t="str">
        <x:f>IF(OR(B689="",$I$6&lt;&gt;"Complete"),"",SUMIFS($E$32:$E$51,$C$32:$C$51,B689,$I$32:$I$51,"Ready"))</x:f>
      </x:c>
      <x:c r="I689" s="37" t="str">
        <x:f>IF(OR(B689="",$I$6&lt;&gt;"Complete"),"",I688+E689+G689-H689)</x:f>
      </x:c>
      <x:c r="J689" s="37" t="str">
        <x:f>IF(OR(B689="",$I$6&lt;&gt;"Complete"),"",'Inputs'!$C$49)</x:f>
      </x:c>
      <x:c r="K689" s="37" t="str">
        <x:f>IF(OR(B689="",$I$6&lt;&gt;"Complete"),"",I689-J689)</x:f>
      </x:c>
      <x:c r="L689" s="61" t="str">
        <x:f>IF(OR(B689="",$I$6&lt;&gt;"Complete"),"",IF(K689&lt;0,1,0))</x:f>
      </x:c>
    </x:row>
    <x:row r="690" ht="23" customHeight="1">
      <x:c r="A690" s="2"/>
      <x:c r="B690" s="60" t="str">
        <x:f>IF($D$6&lt;&gt;"Complete","",IF('Inputs'!$C$47+620&lt;=$D$9,'Inputs'!$C$47+620,""))</x:f>
      </x:c>
      <x:c r="C690" s="37" t="str">
        <x:f>IF(B690="","",SUMIFS($D$14:$D$23,$C$14:$C$23,B690))</x:f>
      </x:c>
      <x:c r="D690" s="37" t="str">
        <x:f>IF(B690="","",SUMIFS($E$14:$E$23,$C$14:$C$23,B690))</x:f>
      </x:c>
      <x:c r="E690" s="37" t="str">
        <x:f>IF(B690="","",C690-D690)</x:f>
      </x:c>
      <x:c r="F690" s="37" t="str">
        <x:f>IF(B690="","",F689+E690)</x:f>
      </x:c>
      <x:c r="G690" s="37" t="str">
        <x:f>IF(OR(B690="",$I$6&lt;&gt;"Complete"),"",SUMIFS($D$32:$D$51,$C$32:$C$51,B690,$I$32:$I$51,"Ready"))</x:f>
      </x:c>
      <x:c r="H690" s="37" t="str">
        <x:f>IF(OR(B690="",$I$6&lt;&gt;"Complete"),"",SUMIFS($E$32:$E$51,$C$32:$C$51,B690,$I$32:$I$51,"Ready"))</x:f>
      </x:c>
      <x:c r="I690" s="37" t="str">
        <x:f>IF(OR(B690="",$I$6&lt;&gt;"Complete"),"",I689+E690+G690-H690)</x:f>
      </x:c>
      <x:c r="J690" s="37" t="str">
        <x:f>IF(OR(B690="",$I$6&lt;&gt;"Complete"),"",'Inputs'!$C$49)</x:f>
      </x:c>
      <x:c r="K690" s="37" t="str">
        <x:f>IF(OR(B690="",$I$6&lt;&gt;"Complete"),"",I690-J690)</x:f>
      </x:c>
      <x:c r="L690" s="61" t="str">
        <x:f>IF(OR(B690="",$I$6&lt;&gt;"Complete"),"",IF(K690&lt;0,1,0))</x:f>
      </x:c>
    </x:row>
    <x:row r="691" ht="23" customHeight="1">
      <x:c r="A691" s="2"/>
      <x:c r="B691" s="60" t="str">
        <x:f>IF($D$6&lt;&gt;"Complete","",IF('Inputs'!$C$47+621&lt;=$D$9,'Inputs'!$C$47+621,""))</x:f>
      </x:c>
      <x:c r="C691" s="37" t="str">
        <x:f>IF(B691="","",SUMIFS($D$14:$D$23,$C$14:$C$23,B691))</x:f>
      </x:c>
      <x:c r="D691" s="37" t="str">
        <x:f>IF(B691="","",SUMIFS($E$14:$E$23,$C$14:$C$23,B691))</x:f>
      </x:c>
      <x:c r="E691" s="37" t="str">
        <x:f>IF(B691="","",C691-D691)</x:f>
      </x:c>
      <x:c r="F691" s="37" t="str">
        <x:f>IF(B691="","",F690+E691)</x:f>
      </x:c>
      <x:c r="G691" s="37" t="str">
        <x:f>IF(OR(B691="",$I$6&lt;&gt;"Complete"),"",SUMIFS($D$32:$D$51,$C$32:$C$51,B691,$I$32:$I$51,"Ready"))</x:f>
      </x:c>
      <x:c r="H691" s="37" t="str">
        <x:f>IF(OR(B691="",$I$6&lt;&gt;"Complete"),"",SUMIFS($E$32:$E$51,$C$32:$C$51,B691,$I$32:$I$51,"Ready"))</x:f>
      </x:c>
      <x:c r="I691" s="37" t="str">
        <x:f>IF(OR(B691="",$I$6&lt;&gt;"Complete"),"",I690+E691+G691-H691)</x:f>
      </x:c>
      <x:c r="J691" s="37" t="str">
        <x:f>IF(OR(B691="",$I$6&lt;&gt;"Complete"),"",'Inputs'!$C$49)</x:f>
      </x:c>
      <x:c r="K691" s="37" t="str">
        <x:f>IF(OR(B691="",$I$6&lt;&gt;"Complete"),"",I691-J691)</x:f>
      </x:c>
      <x:c r="L691" s="61" t="str">
        <x:f>IF(OR(B691="",$I$6&lt;&gt;"Complete"),"",IF(K691&lt;0,1,0))</x:f>
      </x:c>
    </x:row>
    <x:row r="692" ht="23" customHeight="1">
      <x:c r="A692" s="2"/>
      <x:c r="B692" s="60" t="str">
        <x:f>IF($D$6&lt;&gt;"Complete","",IF('Inputs'!$C$47+622&lt;=$D$9,'Inputs'!$C$47+622,""))</x:f>
      </x:c>
      <x:c r="C692" s="37" t="str">
        <x:f>IF(B692="","",SUMIFS($D$14:$D$23,$C$14:$C$23,B692))</x:f>
      </x:c>
      <x:c r="D692" s="37" t="str">
        <x:f>IF(B692="","",SUMIFS($E$14:$E$23,$C$14:$C$23,B692))</x:f>
      </x:c>
      <x:c r="E692" s="37" t="str">
        <x:f>IF(B692="","",C692-D692)</x:f>
      </x:c>
      <x:c r="F692" s="37" t="str">
        <x:f>IF(B692="","",F691+E692)</x:f>
      </x:c>
      <x:c r="G692" s="37" t="str">
        <x:f>IF(OR(B692="",$I$6&lt;&gt;"Complete"),"",SUMIFS($D$32:$D$51,$C$32:$C$51,B692,$I$32:$I$51,"Ready"))</x:f>
      </x:c>
      <x:c r="H692" s="37" t="str">
        <x:f>IF(OR(B692="",$I$6&lt;&gt;"Complete"),"",SUMIFS($E$32:$E$51,$C$32:$C$51,B692,$I$32:$I$51,"Ready"))</x:f>
      </x:c>
      <x:c r="I692" s="37" t="str">
        <x:f>IF(OR(B692="",$I$6&lt;&gt;"Complete"),"",I691+E692+G692-H692)</x:f>
      </x:c>
      <x:c r="J692" s="37" t="str">
        <x:f>IF(OR(B692="",$I$6&lt;&gt;"Complete"),"",'Inputs'!$C$49)</x:f>
      </x:c>
      <x:c r="K692" s="37" t="str">
        <x:f>IF(OR(B692="",$I$6&lt;&gt;"Complete"),"",I692-J692)</x:f>
      </x:c>
      <x:c r="L692" s="61" t="str">
        <x:f>IF(OR(B692="",$I$6&lt;&gt;"Complete"),"",IF(K692&lt;0,1,0))</x:f>
      </x:c>
    </x:row>
    <x:row r="693" ht="23" customHeight="1">
      <x:c r="A693" s="2"/>
      <x:c r="B693" s="60" t="str">
        <x:f>IF($D$6&lt;&gt;"Complete","",IF('Inputs'!$C$47+623&lt;=$D$9,'Inputs'!$C$47+623,""))</x:f>
      </x:c>
      <x:c r="C693" s="37" t="str">
        <x:f>IF(B693="","",SUMIFS($D$14:$D$23,$C$14:$C$23,B693))</x:f>
      </x:c>
      <x:c r="D693" s="37" t="str">
        <x:f>IF(B693="","",SUMIFS($E$14:$E$23,$C$14:$C$23,B693))</x:f>
      </x:c>
      <x:c r="E693" s="37" t="str">
        <x:f>IF(B693="","",C693-D693)</x:f>
      </x:c>
      <x:c r="F693" s="37" t="str">
        <x:f>IF(B693="","",F692+E693)</x:f>
      </x:c>
      <x:c r="G693" s="37" t="str">
        <x:f>IF(OR(B693="",$I$6&lt;&gt;"Complete"),"",SUMIFS($D$32:$D$51,$C$32:$C$51,B693,$I$32:$I$51,"Ready"))</x:f>
      </x:c>
      <x:c r="H693" s="37" t="str">
        <x:f>IF(OR(B693="",$I$6&lt;&gt;"Complete"),"",SUMIFS($E$32:$E$51,$C$32:$C$51,B693,$I$32:$I$51,"Ready"))</x:f>
      </x:c>
      <x:c r="I693" s="37" t="str">
        <x:f>IF(OR(B693="",$I$6&lt;&gt;"Complete"),"",I692+E693+G693-H693)</x:f>
      </x:c>
      <x:c r="J693" s="37" t="str">
        <x:f>IF(OR(B693="",$I$6&lt;&gt;"Complete"),"",'Inputs'!$C$49)</x:f>
      </x:c>
      <x:c r="K693" s="37" t="str">
        <x:f>IF(OR(B693="",$I$6&lt;&gt;"Complete"),"",I693-J693)</x:f>
      </x:c>
      <x:c r="L693" s="61" t="str">
        <x:f>IF(OR(B693="",$I$6&lt;&gt;"Complete"),"",IF(K693&lt;0,1,0))</x:f>
      </x:c>
    </x:row>
    <x:row r="694" ht="23" customHeight="1">
      <x:c r="A694" s="2"/>
      <x:c r="B694" s="60" t="str">
        <x:f>IF($D$6&lt;&gt;"Complete","",IF('Inputs'!$C$47+624&lt;=$D$9,'Inputs'!$C$47+624,""))</x:f>
      </x:c>
      <x:c r="C694" s="37" t="str">
        <x:f>IF(B694="","",SUMIFS($D$14:$D$23,$C$14:$C$23,B694))</x:f>
      </x:c>
      <x:c r="D694" s="37" t="str">
        <x:f>IF(B694="","",SUMIFS($E$14:$E$23,$C$14:$C$23,B694))</x:f>
      </x:c>
      <x:c r="E694" s="37" t="str">
        <x:f>IF(B694="","",C694-D694)</x:f>
      </x:c>
      <x:c r="F694" s="37" t="str">
        <x:f>IF(B694="","",F693+E694)</x:f>
      </x:c>
      <x:c r="G694" s="37" t="str">
        <x:f>IF(OR(B694="",$I$6&lt;&gt;"Complete"),"",SUMIFS($D$32:$D$51,$C$32:$C$51,B694,$I$32:$I$51,"Ready"))</x:f>
      </x:c>
      <x:c r="H694" s="37" t="str">
        <x:f>IF(OR(B694="",$I$6&lt;&gt;"Complete"),"",SUMIFS($E$32:$E$51,$C$32:$C$51,B694,$I$32:$I$51,"Ready"))</x:f>
      </x:c>
      <x:c r="I694" s="37" t="str">
        <x:f>IF(OR(B694="",$I$6&lt;&gt;"Complete"),"",I693+E694+G694-H694)</x:f>
      </x:c>
      <x:c r="J694" s="37" t="str">
        <x:f>IF(OR(B694="",$I$6&lt;&gt;"Complete"),"",'Inputs'!$C$49)</x:f>
      </x:c>
      <x:c r="K694" s="37" t="str">
        <x:f>IF(OR(B694="",$I$6&lt;&gt;"Complete"),"",I694-J694)</x:f>
      </x:c>
      <x:c r="L694" s="61" t="str">
        <x:f>IF(OR(B694="",$I$6&lt;&gt;"Complete"),"",IF(K694&lt;0,1,0))</x:f>
      </x:c>
    </x:row>
    <x:row r="695" ht="23" customHeight="1">
      <x:c r="A695" s="2"/>
      <x:c r="B695" s="60" t="str">
        <x:f>IF($D$6&lt;&gt;"Complete","",IF('Inputs'!$C$47+625&lt;=$D$9,'Inputs'!$C$47+625,""))</x:f>
      </x:c>
      <x:c r="C695" s="37" t="str">
        <x:f>IF(B695="","",SUMIFS($D$14:$D$23,$C$14:$C$23,B695))</x:f>
      </x:c>
      <x:c r="D695" s="37" t="str">
        <x:f>IF(B695="","",SUMIFS($E$14:$E$23,$C$14:$C$23,B695))</x:f>
      </x:c>
      <x:c r="E695" s="37" t="str">
        <x:f>IF(B695="","",C695-D695)</x:f>
      </x:c>
      <x:c r="F695" s="37" t="str">
        <x:f>IF(B695="","",F694+E695)</x:f>
      </x:c>
      <x:c r="G695" s="37" t="str">
        <x:f>IF(OR(B695="",$I$6&lt;&gt;"Complete"),"",SUMIFS($D$32:$D$51,$C$32:$C$51,B695,$I$32:$I$51,"Ready"))</x:f>
      </x:c>
      <x:c r="H695" s="37" t="str">
        <x:f>IF(OR(B695="",$I$6&lt;&gt;"Complete"),"",SUMIFS($E$32:$E$51,$C$32:$C$51,B695,$I$32:$I$51,"Ready"))</x:f>
      </x:c>
      <x:c r="I695" s="37" t="str">
        <x:f>IF(OR(B695="",$I$6&lt;&gt;"Complete"),"",I694+E695+G695-H695)</x:f>
      </x:c>
      <x:c r="J695" s="37" t="str">
        <x:f>IF(OR(B695="",$I$6&lt;&gt;"Complete"),"",'Inputs'!$C$49)</x:f>
      </x:c>
      <x:c r="K695" s="37" t="str">
        <x:f>IF(OR(B695="",$I$6&lt;&gt;"Complete"),"",I695-J695)</x:f>
      </x:c>
      <x:c r="L695" s="61" t="str">
        <x:f>IF(OR(B695="",$I$6&lt;&gt;"Complete"),"",IF(K695&lt;0,1,0))</x:f>
      </x:c>
    </x:row>
    <x:row r="696" ht="23" customHeight="1">
      <x:c r="A696" s="2"/>
      <x:c r="B696" s="60" t="str">
        <x:f>IF($D$6&lt;&gt;"Complete","",IF('Inputs'!$C$47+626&lt;=$D$9,'Inputs'!$C$47+626,""))</x:f>
      </x:c>
      <x:c r="C696" s="37" t="str">
        <x:f>IF(B696="","",SUMIFS($D$14:$D$23,$C$14:$C$23,B696))</x:f>
      </x:c>
      <x:c r="D696" s="37" t="str">
        <x:f>IF(B696="","",SUMIFS($E$14:$E$23,$C$14:$C$23,B696))</x:f>
      </x:c>
      <x:c r="E696" s="37" t="str">
        <x:f>IF(B696="","",C696-D696)</x:f>
      </x:c>
      <x:c r="F696" s="37" t="str">
        <x:f>IF(B696="","",F695+E696)</x:f>
      </x:c>
      <x:c r="G696" s="37" t="str">
        <x:f>IF(OR(B696="",$I$6&lt;&gt;"Complete"),"",SUMIFS($D$32:$D$51,$C$32:$C$51,B696,$I$32:$I$51,"Ready"))</x:f>
      </x:c>
      <x:c r="H696" s="37" t="str">
        <x:f>IF(OR(B696="",$I$6&lt;&gt;"Complete"),"",SUMIFS($E$32:$E$51,$C$32:$C$51,B696,$I$32:$I$51,"Ready"))</x:f>
      </x:c>
      <x:c r="I696" s="37" t="str">
        <x:f>IF(OR(B696="",$I$6&lt;&gt;"Complete"),"",I695+E696+G696-H696)</x:f>
      </x:c>
      <x:c r="J696" s="37" t="str">
        <x:f>IF(OR(B696="",$I$6&lt;&gt;"Complete"),"",'Inputs'!$C$49)</x:f>
      </x:c>
      <x:c r="K696" s="37" t="str">
        <x:f>IF(OR(B696="",$I$6&lt;&gt;"Complete"),"",I696-J696)</x:f>
      </x:c>
      <x:c r="L696" s="61" t="str">
        <x:f>IF(OR(B696="",$I$6&lt;&gt;"Complete"),"",IF(K696&lt;0,1,0))</x:f>
      </x:c>
    </x:row>
    <x:row r="697" ht="23" customHeight="1">
      <x:c r="A697" s="2"/>
      <x:c r="B697" s="60" t="str">
        <x:f>IF($D$6&lt;&gt;"Complete","",IF('Inputs'!$C$47+627&lt;=$D$9,'Inputs'!$C$47+627,""))</x:f>
      </x:c>
      <x:c r="C697" s="37" t="str">
        <x:f>IF(B697="","",SUMIFS($D$14:$D$23,$C$14:$C$23,B697))</x:f>
      </x:c>
      <x:c r="D697" s="37" t="str">
        <x:f>IF(B697="","",SUMIFS($E$14:$E$23,$C$14:$C$23,B697))</x:f>
      </x:c>
      <x:c r="E697" s="37" t="str">
        <x:f>IF(B697="","",C697-D697)</x:f>
      </x:c>
      <x:c r="F697" s="37" t="str">
        <x:f>IF(B697="","",F696+E697)</x:f>
      </x:c>
      <x:c r="G697" s="37" t="str">
        <x:f>IF(OR(B697="",$I$6&lt;&gt;"Complete"),"",SUMIFS($D$32:$D$51,$C$32:$C$51,B697,$I$32:$I$51,"Ready"))</x:f>
      </x:c>
      <x:c r="H697" s="37" t="str">
        <x:f>IF(OR(B697="",$I$6&lt;&gt;"Complete"),"",SUMIFS($E$32:$E$51,$C$32:$C$51,B697,$I$32:$I$51,"Ready"))</x:f>
      </x:c>
      <x:c r="I697" s="37" t="str">
        <x:f>IF(OR(B697="",$I$6&lt;&gt;"Complete"),"",I696+E697+G697-H697)</x:f>
      </x:c>
      <x:c r="J697" s="37" t="str">
        <x:f>IF(OR(B697="",$I$6&lt;&gt;"Complete"),"",'Inputs'!$C$49)</x:f>
      </x:c>
      <x:c r="K697" s="37" t="str">
        <x:f>IF(OR(B697="",$I$6&lt;&gt;"Complete"),"",I697-J697)</x:f>
      </x:c>
      <x:c r="L697" s="61" t="str">
        <x:f>IF(OR(B697="",$I$6&lt;&gt;"Complete"),"",IF(K697&lt;0,1,0))</x:f>
      </x:c>
    </x:row>
    <x:row r="698" ht="23" customHeight="1">
      <x:c r="A698" s="2"/>
      <x:c r="B698" s="60" t="str">
        <x:f>IF($D$6&lt;&gt;"Complete","",IF('Inputs'!$C$47+628&lt;=$D$9,'Inputs'!$C$47+628,""))</x:f>
      </x:c>
      <x:c r="C698" s="37" t="str">
        <x:f>IF(B698="","",SUMIFS($D$14:$D$23,$C$14:$C$23,B698))</x:f>
      </x:c>
      <x:c r="D698" s="37" t="str">
        <x:f>IF(B698="","",SUMIFS($E$14:$E$23,$C$14:$C$23,B698))</x:f>
      </x:c>
      <x:c r="E698" s="37" t="str">
        <x:f>IF(B698="","",C698-D698)</x:f>
      </x:c>
      <x:c r="F698" s="37" t="str">
        <x:f>IF(B698="","",F697+E698)</x:f>
      </x:c>
      <x:c r="G698" s="37" t="str">
        <x:f>IF(OR(B698="",$I$6&lt;&gt;"Complete"),"",SUMIFS($D$32:$D$51,$C$32:$C$51,B698,$I$32:$I$51,"Ready"))</x:f>
      </x:c>
      <x:c r="H698" s="37" t="str">
        <x:f>IF(OR(B698="",$I$6&lt;&gt;"Complete"),"",SUMIFS($E$32:$E$51,$C$32:$C$51,B698,$I$32:$I$51,"Ready"))</x:f>
      </x:c>
      <x:c r="I698" s="37" t="str">
        <x:f>IF(OR(B698="",$I$6&lt;&gt;"Complete"),"",I697+E698+G698-H698)</x:f>
      </x:c>
      <x:c r="J698" s="37" t="str">
        <x:f>IF(OR(B698="",$I$6&lt;&gt;"Complete"),"",'Inputs'!$C$49)</x:f>
      </x:c>
      <x:c r="K698" s="37" t="str">
        <x:f>IF(OR(B698="",$I$6&lt;&gt;"Complete"),"",I698-J698)</x:f>
      </x:c>
      <x:c r="L698" s="61" t="str">
        <x:f>IF(OR(B698="",$I$6&lt;&gt;"Complete"),"",IF(K698&lt;0,1,0))</x:f>
      </x:c>
    </x:row>
    <x:row r="699" ht="23" customHeight="1">
      <x:c r="A699" s="2"/>
      <x:c r="B699" s="60" t="str">
        <x:f>IF($D$6&lt;&gt;"Complete","",IF('Inputs'!$C$47+629&lt;=$D$9,'Inputs'!$C$47+629,""))</x:f>
      </x:c>
      <x:c r="C699" s="37" t="str">
        <x:f>IF(B699="","",SUMIFS($D$14:$D$23,$C$14:$C$23,B699))</x:f>
      </x:c>
      <x:c r="D699" s="37" t="str">
        <x:f>IF(B699="","",SUMIFS($E$14:$E$23,$C$14:$C$23,B699))</x:f>
      </x:c>
      <x:c r="E699" s="37" t="str">
        <x:f>IF(B699="","",C699-D699)</x:f>
      </x:c>
      <x:c r="F699" s="37" t="str">
        <x:f>IF(B699="","",F698+E699)</x:f>
      </x:c>
      <x:c r="G699" s="37" t="str">
        <x:f>IF(OR(B699="",$I$6&lt;&gt;"Complete"),"",SUMIFS($D$32:$D$51,$C$32:$C$51,B699,$I$32:$I$51,"Ready"))</x:f>
      </x:c>
      <x:c r="H699" s="37" t="str">
        <x:f>IF(OR(B699="",$I$6&lt;&gt;"Complete"),"",SUMIFS($E$32:$E$51,$C$32:$C$51,B699,$I$32:$I$51,"Ready"))</x:f>
      </x:c>
      <x:c r="I699" s="37" t="str">
        <x:f>IF(OR(B699="",$I$6&lt;&gt;"Complete"),"",I698+E699+G699-H699)</x:f>
      </x:c>
      <x:c r="J699" s="37" t="str">
        <x:f>IF(OR(B699="",$I$6&lt;&gt;"Complete"),"",'Inputs'!$C$49)</x:f>
      </x:c>
      <x:c r="K699" s="37" t="str">
        <x:f>IF(OR(B699="",$I$6&lt;&gt;"Complete"),"",I699-J699)</x:f>
      </x:c>
      <x:c r="L699" s="61" t="str">
        <x:f>IF(OR(B699="",$I$6&lt;&gt;"Complete"),"",IF(K699&lt;0,1,0))</x:f>
      </x:c>
    </x:row>
    <x:row r="700" ht="23" customHeight="1">
      <x:c r="A700" s="2"/>
      <x:c r="B700" s="60" t="str">
        <x:f>IF($D$6&lt;&gt;"Complete","",IF('Inputs'!$C$47+630&lt;=$D$9,'Inputs'!$C$47+630,""))</x:f>
      </x:c>
      <x:c r="C700" s="37" t="str">
        <x:f>IF(B700="","",SUMIFS($D$14:$D$23,$C$14:$C$23,B700))</x:f>
      </x:c>
      <x:c r="D700" s="37" t="str">
        <x:f>IF(B700="","",SUMIFS($E$14:$E$23,$C$14:$C$23,B700))</x:f>
      </x:c>
      <x:c r="E700" s="37" t="str">
        <x:f>IF(B700="","",C700-D700)</x:f>
      </x:c>
      <x:c r="F700" s="37" t="str">
        <x:f>IF(B700="","",F699+E700)</x:f>
      </x:c>
      <x:c r="G700" s="37" t="str">
        <x:f>IF(OR(B700="",$I$6&lt;&gt;"Complete"),"",SUMIFS($D$32:$D$51,$C$32:$C$51,B700,$I$32:$I$51,"Ready"))</x:f>
      </x:c>
      <x:c r="H700" s="37" t="str">
        <x:f>IF(OR(B700="",$I$6&lt;&gt;"Complete"),"",SUMIFS($E$32:$E$51,$C$32:$C$51,B700,$I$32:$I$51,"Ready"))</x:f>
      </x:c>
      <x:c r="I700" s="37" t="str">
        <x:f>IF(OR(B700="",$I$6&lt;&gt;"Complete"),"",I699+E700+G700-H700)</x:f>
      </x:c>
      <x:c r="J700" s="37" t="str">
        <x:f>IF(OR(B700="",$I$6&lt;&gt;"Complete"),"",'Inputs'!$C$49)</x:f>
      </x:c>
      <x:c r="K700" s="37" t="str">
        <x:f>IF(OR(B700="",$I$6&lt;&gt;"Complete"),"",I700-J700)</x:f>
      </x:c>
      <x:c r="L700" s="61" t="str">
        <x:f>IF(OR(B700="",$I$6&lt;&gt;"Complete"),"",IF(K700&lt;0,1,0))</x:f>
      </x:c>
    </x:row>
    <x:row r="701" ht="23" customHeight="1">
      <x:c r="A701" s="2"/>
      <x:c r="B701" s="60" t="str">
        <x:f>IF($D$6&lt;&gt;"Complete","",IF('Inputs'!$C$47+631&lt;=$D$9,'Inputs'!$C$47+631,""))</x:f>
      </x:c>
      <x:c r="C701" s="37" t="str">
        <x:f>IF(B701="","",SUMIFS($D$14:$D$23,$C$14:$C$23,B701))</x:f>
      </x:c>
      <x:c r="D701" s="37" t="str">
        <x:f>IF(B701="","",SUMIFS($E$14:$E$23,$C$14:$C$23,B701))</x:f>
      </x:c>
      <x:c r="E701" s="37" t="str">
        <x:f>IF(B701="","",C701-D701)</x:f>
      </x:c>
      <x:c r="F701" s="37" t="str">
        <x:f>IF(B701="","",F700+E701)</x:f>
      </x:c>
      <x:c r="G701" s="37" t="str">
        <x:f>IF(OR(B701="",$I$6&lt;&gt;"Complete"),"",SUMIFS($D$32:$D$51,$C$32:$C$51,B701,$I$32:$I$51,"Ready"))</x:f>
      </x:c>
      <x:c r="H701" s="37" t="str">
        <x:f>IF(OR(B701="",$I$6&lt;&gt;"Complete"),"",SUMIFS($E$32:$E$51,$C$32:$C$51,B701,$I$32:$I$51,"Ready"))</x:f>
      </x:c>
      <x:c r="I701" s="37" t="str">
        <x:f>IF(OR(B701="",$I$6&lt;&gt;"Complete"),"",I700+E701+G701-H701)</x:f>
      </x:c>
      <x:c r="J701" s="37" t="str">
        <x:f>IF(OR(B701="",$I$6&lt;&gt;"Complete"),"",'Inputs'!$C$49)</x:f>
      </x:c>
      <x:c r="K701" s="37" t="str">
        <x:f>IF(OR(B701="",$I$6&lt;&gt;"Complete"),"",I701-J701)</x:f>
      </x:c>
      <x:c r="L701" s="61" t="str">
        <x:f>IF(OR(B701="",$I$6&lt;&gt;"Complete"),"",IF(K701&lt;0,1,0))</x:f>
      </x:c>
    </x:row>
    <x:row r="702" ht="23" customHeight="1">
      <x:c r="A702" s="2"/>
      <x:c r="B702" s="60" t="str">
        <x:f>IF($D$6&lt;&gt;"Complete","",IF('Inputs'!$C$47+632&lt;=$D$9,'Inputs'!$C$47+632,""))</x:f>
      </x:c>
      <x:c r="C702" s="37" t="str">
        <x:f>IF(B702="","",SUMIFS($D$14:$D$23,$C$14:$C$23,B702))</x:f>
      </x:c>
      <x:c r="D702" s="37" t="str">
        <x:f>IF(B702="","",SUMIFS($E$14:$E$23,$C$14:$C$23,B702))</x:f>
      </x:c>
      <x:c r="E702" s="37" t="str">
        <x:f>IF(B702="","",C702-D702)</x:f>
      </x:c>
      <x:c r="F702" s="37" t="str">
        <x:f>IF(B702="","",F701+E702)</x:f>
      </x:c>
      <x:c r="G702" s="37" t="str">
        <x:f>IF(OR(B702="",$I$6&lt;&gt;"Complete"),"",SUMIFS($D$32:$D$51,$C$32:$C$51,B702,$I$32:$I$51,"Ready"))</x:f>
      </x:c>
      <x:c r="H702" s="37" t="str">
        <x:f>IF(OR(B702="",$I$6&lt;&gt;"Complete"),"",SUMIFS($E$32:$E$51,$C$32:$C$51,B702,$I$32:$I$51,"Ready"))</x:f>
      </x:c>
      <x:c r="I702" s="37" t="str">
        <x:f>IF(OR(B702="",$I$6&lt;&gt;"Complete"),"",I701+E702+G702-H702)</x:f>
      </x:c>
      <x:c r="J702" s="37" t="str">
        <x:f>IF(OR(B702="",$I$6&lt;&gt;"Complete"),"",'Inputs'!$C$49)</x:f>
      </x:c>
      <x:c r="K702" s="37" t="str">
        <x:f>IF(OR(B702="",$I$6&lt;&gt;"Complete"),"",I702-J702)</x:f>
      </x:c>
      <x:c r="L702" s="61" t="str">
        <x:f>IF(OR(B702="",$I$6&lt;&gt;"Complete"),"",IF(K702&lt;0,1,0))</x:f>
      </x:c>
    </x:row>
    <x:row r="703" ht="23" customHeight="1">
      <x:c r="A703" s="2"/>
      <x:c r="B703" s="60" t="str">
        <x:f>IF($D$6&lt;&gt;"Complete","",IF('Inputs'!$C$47+633&lt;=$D$9,'Inputs'!$C$47+633,""))</x:f>
      </x:c>
      <x:c r="C703" s="37" t="str">
        <x:f>IF(B703="","",SUMIFS($D$14:$D$23,$C$14:$C$23,B703))</x:f>
      </x:c>
      <x:c r="D703" s="37" t="str">
        <x:f>IF(B703="","",SUMIFS($E$14:$E$23,$C$14:$C$23,B703))</x:f>
      </x:c>
      <x:c r="E703" s="37" t="str">
        <x:f>IF(B703="","",C703-D703)</x:f>
      </x:c>
      <x:c r="F703" s="37" t="str">
        <x:f>IF(B703="","",F702+E703)</x:f>
      </x:c>
      <x:c r="G703" s="37" t="str">
        <x:f>IF(OR(B703="",$I$6&lt;&gt;"Complete"),"",SUMIFS($D$32:$D$51,$C$32:$C$51,B703,$I$32:$I$51,"Ready"))</x:f>
      </x:c>
      <x:c r="H703" s="37" t="str">
        <x:f>IF(OR(B703="",$I$6&lt;&gt;"Complete"),"",SUMIFS($E$32:$E$51,$C$32:$C$51,B703,$I$32:$I$51,"Ready"))</x:f>
      </x:c>
      <x:c r="I703" s="37" t="str">
        <x:f>IF(OR(B703="",$I$6&lt;&gt;"Complete"),"",I702+E703+G703-H703)</x:f>
      </x:c>
      <x:c r="J703" s="37" t="str">
        <x:f>IF(OR(B703="",$I$6&lt;&gt;"Complete"),"",'Inputs'!$C$49)</x:f>
      </x:c>
      <x:c r="K703" s="37" t="str">
        <x:f>IF(OR(B703="",$I$6&lt;&gt;"Complete"),"",I703-J703)</x:f>
      </x:c>
      <x:c r="L703" s="61" t="str">
        <x:f>IF(OR(B703="",$I$6&lt;&gt;"Complete"),"",IF(K703&lt;0,1,0))</x:f>
      </x:c>
    </x:row>
    <x:row r="704" ht="23" customHeight="1">
      <x:c r="A704" s="2"/>
      <x:c r="B704" s="60" t="str">
        <x:f>IF($D$6&lt;&gt;"Complete","",IF('Inputs'!$C$47+634&lt;=$D$9,'Inputs'!$C$47+634,""))</x:f>
      </x:c>
      <x:c r="C704" s="37" t="str">
        <x:f>IF(B704="","",SUMIFS($D$14:$D$23,$C$14:$C$23,B704))</x:f>
      </x:c>
      <x:c r="D704" s="37" t="str">
        <x:f>IF(B704="","",SUMIFS($E$14:$E$23,$C$14:$C$23,B704))</x:f>
      </x:c>
      <x:c r="E704" s="37" t="str">
        <x:f>IF(B704="","",C704-D704)</x:f>
      </x:c>
      <x:c r="F704" s="37" t="str">
        <x:f>IF(B704="","",F703+E704)</x:f>
      </x:c>
      <x:c r="G704" s="37" t="str">
        <x:f>IF(OR(B704="",$I$6&lt;&gt;"Complete"),"",SUMIFS($D$32:$D$51,$C$32:$C$51,B704,$I$32:$I$51,"Ready"))</x:f>
      </x:c>
      <x:c r="H704" s="37" t="str">
        <x:f>IF(OR(B704="",$I$6&lt;&gt;"Complete"),"",SUMIFS($E$32:$E$51,$C$32:$C$51,B704,$I$32:$I$51,"Ready"))</x:f>
      </x:c>
      <x:c r="I704" s="37" t="str">
        <x:f>IF(OR(B704="",$I$6&lt;&gt;"Complete"),"",I703+E704+G704-H704)</x:f>
      </x:c>
      <x:c r="J704" s="37" t="str">
        <x:f>IF(OR(B704="",$I$6&lt;&gt;"Complete"),"",'Inputs'!$C$49)</x:f>
      </x:c>
      <x:c r="K704" s="37" t="str">
        <x:f>IF(OR(B704="",$I$6&lt;&gt;"Complete"),"",I704-J704)</x:f>
      </x:c>
      <x:c r="L704" s="61" t="str">
        <x:f>IF(OR(B704="",$I$6&lt;&gt;"Complete"),"",IF(K704&lt;0,1,0))</x:f>
      </x:c>
    </x:row>
    <x:row r="705" ht="23" customHeight="1">
      <x:c r="A705" s="2"/>
      <x:c r="B705" s="60" t="str">
        <x:f>IF($D$6&lt;&gt;"Complete","",IF('Inputs'!$C$47+635&lt;=$D$9,'Inputs'!$C$47+635,""))</x:f>
      </x:c>
      <x:c r="C705" s="37" t="str">
        <x:f>IF(B705="","",SUMIFS($D$14:$D$23,$C$14:$C$23,B705))</x:f>
      </x:c>
      <x:c r="D705" s="37" t="str">
        <x:f>IF(B705="","",SUMIFS($E$14:$E$23,$C$14:$C$23,B705))</x:f>
      </x:c>
      <x:c r="E705" s="37" t="str">
        <x:f>IF(B705="","",C705-D705)</x:f>
      </x:c>
      <x:c r="F705" s="37" t="str">
        <x:f>IF(B705="","",F704+E705)</x:f>
      </x:c>
      <x:c r="G705" s="37" t="str">
        <x:f>IF(OR(B705="",$I$6&lt;&gt;"Complete"),"",SUMIFS($D$32:$D$51,$C$32:$C$51,B705,$I$32:$I$51,"Ready"))</x:f>
      </x:c>
      <x:c r="H705" s="37" t="str">
        <x:f>IF(OR(B705="",$I$6&lt;&gt;"Complete"),"",SUMIFS($E$32:$E$51,$C$32:$C$51,B705,$I$32:$I$51,"Ready"))</x:f>
      </x:c>
      <x:c r="I705" s="37" t="str">
        <x:f>IF(OR(B705="",$I$6&lt;&gt;"Complete"),"",I704+E705+G705-H705)</x:f>
      </x:c>
      <x:c r="J705" s="37" t="str">
        <x:f>IF(OR(B705="",$I$6&lt;&gt;"Complete"),"",'Inputs'!$C$49)</x:f>
      </x:c>
      <x:c r="K705" s="37" t="str">
        <x:f>IF(OR(B705="",$I$6&lt;&gt;"Complete"),"",I705-J705)</x:f>
      </x:c>
      <x:c r="L705" s="61" t="str">
        <x:f>IF(OR(B705="",$I$6&lt;&gt;"Complete"),"",IF(K705&lt;0,1,0))</x:f>
      </x:c>
    </x:row>
    <x:row r="706" ht="23" customHeight="1">
      <x:c r="A706" s="2"/>
      <x:c r="B706" s="60" t="str">
        <x:f>IF($D$6&lt;&gt;"Complete","",IF('Inputs'!$C$47+636&lt;=$D$9,'Inputs'!$C$47+636,""))</x:f>
      </x:c>
      <x:c r="C706" s="37" t="str">
        <x:f>IF(B706="","",SUMIFS($D$14:$D$23,$C$14:$C$23,B706))</x:f>
      </x:c>
      <x:c r="D706" s="37" t="str">
        <x:f>IF(B706="","",SUMIFS($E$14:$E$23,$C$14:$C$23,B706))</x:f>
      </x:c>
      <x:c r="E706" s="37" t="str">
        <x:f>IF(B706="","",C706-D706)</x:f>
      </x:c>
      <x:c r="F706" s="37" t="str">
        <x:f>IF(B706="","",F705+E706)</x:f>
      </x:c>
      <x:c r="G706" s="37" t="str">
        <x:f>IF(OR(B706="",$I$6&lt;&gt;"Complete"),"",SUMIFS($D$32:$D$51,$C$32:$C$51,B706,$I$32:$I$51,"Ready"))</x:f>
      </x:c>
      <x:c r="H706" s="37" t="str">
        <x:f>IF(OR(B706="",$I$6&lt;&gt;"Complete"),"",SUMIFS($E$32:$E$51,$C$32:$C$51,B706,$I$32:$I$51,"Ready"))</x:f>
      </x:c>
      <x:c r="I706" s="37" t="str">
        <x:f>IF(OR(B706="",$I$6&lt;&gt;"Complete"),"",I705+E706+G706-H706)</x:f>
      </x:c>
      <x:c r="J706" s="37" t="str">
        <x:f>IF(OR(B706="",$I$6&lt;&gt;"Complete"),"",'Inputs'!$C$49)</x:f>
      </x:c>
      <x:c r="K706" s="37" t="str">
        <x:f>IF(OR(B706="",$I$6&lt;&gt;"Complete"),"",I706-J706)</x:f>
      </x:c>
      <x:c r="L706" s="61" t="str">
        <x:f>IF(OR(B706="",$I$6&lt;&gt;"Complete"),"",IF(K706&lt;0,1,0))</x:f>
      </x:c>
    </x:row>
    <x:row r="707" ht="23" customHeight="1">
      <x:c r="A707" s="2"/>
      <x:c r="B707" s="60" t="str">
        <x:f>IF($D$6&lt;&gt;"Complete","",IF('Inputs'!$C$47+637&lt;=$D$9,'Inputs'!$C$47+637,""))</x:f>
      </x:c>
      <x:c r="C707" s="37" t="str">
        <x:f>IF(B707="","",SUMIFS($D$14:$D$23,$C$14:$C$23,B707))</x:f>
      </x:c>
      <x:c r="D707" s="37" t="str">
        <x:f>IF(B707="","",SUMIFS($E$14:$E$23,$C$14:$C$23,B707))</x:f>
      </x:c>
      <x:c r="E707" s="37" t="str">
        <x:f>IF(B707="","",C707-D707)</x:f>
      </x:c>
      <x:c r="F707" s="37" t="str">
        <x:f>IF(B707="","",F706+E707)</x:f>
      </x:c>
      <x:c r="G707" s="37" t="str">
        <x:f>IF(OR(B707="",$I$6&lt;&gt;"Complete"),"",SUMIFS($D$32:$D$51,$C$32:$C$51,B707,$I$32:$I$51,"Ready"))</x:f>
      </x:c>
      <x:c r="H707" s="37" t="str">
        <x:f>IF(OR(B707="",$I$6&lt;&gt;"Complete"),"",SUMIFS($E$32:$E$51,$C$32:$C$51,B707,$I$32:$I$51,"Ready"))</x:f>
      </x:c>
      <x:c r="I707" s="37" t="str">
        <x:f>IF(OR(B707="",$I$6&lt;&gt;"Complete"),"",I706+E707+G707-H707)</x:f>
      </x:c>
      <x:c r="J707" s="37" t="str">
        <x:f>IF(OR(B707="",$I$6&lt;&gt;"Complete"),"",'Inputs'!$C$49)</x:f>
      </x:c>
      <x:c r="K707" s="37" t="str">
        <x:f>IF(OR(B707="",$I$6&lt;&gt;"Complete"),"",I707-J707)</x:f>
      </x:c>
      <x:c r="L707" s="61" t="str">
        <x:f>IF(OR(B707="",$I$6&lt;&gt;"Complete"),"",IF(K707&lt;0,1,0))</x:f>
      </x:c>
    </x:row>
    <x:row r="708" ht="23" customHeight="1">
      <x:c r="A708" s="2"/>
      <x:c r="B708" s="60" t="str">
        <x:f>IF($D$6&lt;&gt;"Complete","",IF('Inputs'!$C$47+638&lt;=$D$9,'Inputs'!$C$47+638,""))</x:f>
      </x:c>
      <x:c r="C708" s="37" t="str">
        <x:f>IF(B708="","",SUMIFS($D$14:$D$23,$C$14:$C$23,B708))</x:f>
      </x:c>
      <x:c r="D708" s="37" t="str">
        <x:f>IF(B708="","",SUMIFS($E$14:$E$23,$C$14:$C$23,B708))</x:f>
      </x:c>
      <x:c r="E708" s="37" t="str">
        <x:f>IF(B708="","",C708-D708)</x:f>
      </x:c>
      <x:c r="F708" s="37" t="str">
        <x:f>IF(B708="","",F707+E708)</x:f>
      </x:c>
      <x:c r="G708" s="37" t="str">
        <x:f>IF(OR(B708="",$I$6&lt;&gt;"Complete"),"",SUMIFS($D$32:$D$51,$C$32:$C$51,B708,$I$32:$I$51,"Ready"))</x:f>
      </x:c>
      <x:c r="H708" s="37" t="str">
        <x:f>IF(OR(B708="",$I$6&lt;&gt;"Complete"),"",SUMIFS($E$32:$E$51,$C$32:$C$51,B708,$I$32:$I$51,"Ready"))</x:f>
      </x:c>
      <x:c r="I708" s="37" t="str">
        <x:f>IF(OR(B708="",$I$6&lt;&gt;"Complete"),"",I707+E708+G708-H708)</x:f>
      </x:c>
      <x:c r="J708" s="37" t="str">
        <x:f>IF(OR(B708="",$I$6&lt;&gt;"Complete"),"",'Inputs'!$C$49)</x:f>
      </x:c>
      <x:c r="K708" s="37" t="str">
        <x:f>IF(OR(B708="",$I$6&lt;&gt;"Complete"),"",I708-J708)</x:f>
      </x:c>
      <x:c r="L708" s="61" t="str">
        <x:f>IF(OR(B708="",$I$6&lt;&gt;"Complete"),"",IF(K708&lt;0,1,0))</x:f>
      </x:c>
    </x:row>
    <x:row r="709" ht="23" customHeight="1">
      <x:c r="A709" s="2"/>
      <x:c r="B709" s="60" t="str">
        <x:f>IF($D$6&lt;&gt;"Complete","",IF('Inputs'!$C$47+639&lt;=$D$9,'Inputs'!$C$47+639,""))</x:f>
      </x:c>
      <x:c r="C709" s="37" t="str">
        <x:f>IF(B709="","",SUMIFS($D$14:$D$23,$C$14:$C$23,B709))</x:f>
      </x:c>
      <x:c r="D709" s="37" t="str">
        <x:f>IF(B709="","",SUMIFS($E$14:$E$23,$C$14:$C$23,B709))</x:f>
      </x:c>
      <x:c r="E709" s="37" t="str">
        <x:f>IF(B709="","",C709-D709)</x:f>
      </x:c>
      <x:c r="F709" s="37" t="str">
        <x:f>IF(B709="","",F708+E709)</x:f>
      </x:c>
      <x:c r="G709" s="37" t="str">
        <x:f>IF(OR(B709="",$I$6&lt;&gt;"Complete"),"",SUMIFS($D$32:$D$51,$C$32:$C$51,B709,$I$32:$I$51,"Ready"))</x:f>
      </x:c>
      <x:c r="H709" s="37" t="str">
        <x:f>IF(OR(B709="",$I$6&lt;&gt;"Complete"),"",SUMIFS($E$32:$E$51,$C$32:$C$51,B709,$I$32:$I$51,"Ready"))</x:f>
      </x:c>
      <x:c r="I709" s="37" t="str">
        <x:f>IF(OR(B709="",$I$6&lt;&gt;"Complete"),"",I708+E709+G709-H709)</x:f>
      </x:c>
      <x:c r="J709" s="37" t="str">
        <x:f>IF(OR(B709="",$I$6&lt;&gt;"Complete"),"",'Inputs'!$C$49)</x:f>
      </x:c>
      <x:c r="K709" s="37" t="str">
        <x:f>IF(OR(B709="",$I$6&lt;&gt;"Complete"),"",I709-J709)</x:f>
      </x:c>
      <x:c r="L709" s="61" t="str">
        <x:f>IF(OR(B709="",$I$6&lt;&gt;"Complete"),"",IF(K709&lt;0,1,0))</x:f>
      </x:c>
    </x:row>
    <x:row r="710" ht="23" customHeight="1">
      <x:c r="A710" s="2"/>
      <x:c r="B710" s="60" t="str">
        <x:f>IF($D$6&lt;&gt;"Complete","",IF('Inputs'!$C$47+640&lt;=$D$9,'Inputs'!$C$47+640,""))</x:f>
      </x:c>
      <x:c r="C710" s="37" t="str">
        <x:f>IF(B710="","",SUMIFS($D$14:$D$23,$C$14:$C$23,B710))</x:f>
      </x:c>
      <x:c r="D710" s="37" t="str">
        <x:f>IF(B710="","",SUMIFS($E$14:$E$23,$C$14:$C$23,B710))</x:f>
      </x:c>
      <x:c r="E710" s="37" t="str">
        <x:f>IF(B710="","",C710-D710)</x:f>
      </x:c>
      <x:c r="F710" s="37" t="str">
        <x:f>IF(B710="","",F709+E710)</x:f>
      </x:c>
      <x:c r="G710" s="37" t="str">
        <x:f>IF(OR(B710="",$I$6&lt;&gt;"Complete"),"",SUMIFS($D$32:$D$51,$C$32:$C$51,B710,$I$32:$I$51,"Ready"))</x:f>
      </x:c>
      <x:c r="H710" s="37" t="str">
        <x:f>IF(OR(B710="",$I$6&lt;&gt;"Complete"),"",SUMIFS($E$32:$E$51,$C$32:$C$51,B710,$I$32:$I$51,"Ready"))</x:f>
      </x:c>
      <x:c r="I710" s="37" t="str">
        <x:f>IF(OR(B710="",$I$6&lt;&gt;"Complete"),"",I709+E710+G710-H710)</x:f>
      </x:c>
      <x:c r="J710" s="37" t="str">
        <x:f>IF(OR(B710="",$I$6&lt;&gt;"Complete"),"",'Inputs'!$C$49)</x:f>
      </x:c>
      <x:c r="K710" s="37" t="str">
        <x:f>IF(OR(B710="",$I$6&lt;&gt;"Complete"),"",I710-J710)</x:f>
      </x:c>
      <x:c r="L710" s="61" t="str">
        <x:f>IF(OR(B710="",$I$6&lt;&gt;"Complete"),"",IF(K710&lt;0,1,0))</x:f>
      </x:c>
    </x:row>
    <x:row r="711" ht="23" customHeight="1">
      <x:c r="A711" s="2"/>
      <x:c r="B711" s="60" t="str">
        <x:f>IF($D$6&lt;&gt;"Complete","",IF('Inputs'!$C$47+641&lt;=$D$9,'Inputs'!$C$47+641,""))</x:f>
      </x:c>
      <x:c r="C711" s="37" t="str">
        <x:f>IF(B711="","",SUMIFS($D$14:$D$23,$C$14:$C$23,B711))</x:f>
      </x:c>
      <x:c r="D711" s="37" t="str">
        <x:f>IF(B711="","",SUMIFS($E$14:$E$23,$C$14:$C$23,B711))</x:f>
      </x:c>
      <x:c r="E711" s="37" t="str">
        <x:f>IF(B711="","",C711-D711)</x:f>
      </x:c>
      <x:c r="F711" s="37" t="str">
        <x:f>IF(B711="","",F710+E711)</x:f>
      </x:c>
      <x:c r="G711" s="37" t="str">
        <x:f>IF(OR(B711="",$I$6&lt;&gt;"Complete"),"",SUMIFS($D$32:$D$51,$C$32:$C$51,B711,$I$32:$I$51,"Ready"))</x:f>
      </x:c>
      <x:c r="H711" s="37" t="str">
        <x:f>IF(OR(B711="",$I$6&lt;&gt;"Complete"),"",SUMIFS($E$32:$E$51,$C$32:$C$51,B711,$I$32:$I$51,"Ready"))</x:f>
      </x:c>
      <x:c r="I711" s="37" t="str">
        <x:f>IF(OR(B711="",$I$6&lt;&gt;"Complete"),"",I710+E711+G711-H711)</x:f>
      </x:c>
      <x:c r="J711" s="37" t="str">
        <x:f>IF(OR(B711="",$I$6&lt;&gt;"Complete"),"",'Inputs'!$C$49)</x:f>
      </x:c>
      <x:c r="K711" s="37" t="str">
        <x:f>IF(OR(B711="",$I$6&lt;&gt;"Complete"),"",I711-J711)</x:f>
      </x:c>
      <x:c r="L711" s="61" t="str">
        <x:f>IF(OR(B711="",$I$6&lt;&gt;"Complete"),"",IF(K711&lt;0,1,0))</x:f>
      </x:c>
    </x:row>
    <x:row r="712" ht="23" customHeight="1">
      <x:c r="A712" s="2"/>
      <x:c r="B712" s="60" t="str">
        <x:f>IF($D$6&lt;&gt;"Complete","",IF('Inputs'!$C$47+642&lt;=$D$9,'Inputs'!$C$47+642,""))</x:f>
      </x:c>
      <x:c r="C712" s="37" t="str">
        <x:f>IF(B712="","",SUMIFS($D$14:$D$23,$C$14:$C$23,B712))</x:f>
      </x:c>
      <x:c r="D712" s="37" t="str">
        <x:f>IF(B712="","",SUMIFS($E$14:$E$23,$C$14:$C$23,B712))</x:f>
      </x:c>
      <x:c r="E712" s="37" t="str">
        <x:f>IF(B712="","",C712-D712)</x:f>
      </x:c>
      <x:c r="F712" s="37" t="str">
        <x:f>IF(B712="","",F711+E712)</x:f>
      </x:c>
      <x:c r="G712" s="37" t="str">
        <x:f>IF(OR(B712="",$I$6&lt;&gt;"Complete"),"",SUMIFS($D$32:$D$51,$C$32:$C$51,B712,$I$32:$I$51,"Ready"))</x:f>
      </x:c>
      <x:c r="H712" s="37" t="str">
        <x:f>IF(OR(B712="",$I$6&lt;&gt;"Complete"),"",SUMIFS($E$32:$E$51,$C$32:$C$51,B712,$I$32:$I$51,"Ready"))</x:f>
      </x:c>
      <x:c r="I712" s="37" t="str">
        <x:f>IF(OR(B712="",$I$6&lt;&gt;"Complete"),"",I711+E712+G712-H712)</x:f>
      </x:c>
      <x:c r="J712" s="37" t="str">
        <x:f>IF(OR(B712="",$I$6&lt;&gt;"Complete"),"",'Inputs'!$C$49)</x:f>
      </x:c>
      <x:c r="K712" s="37" t="str">
        <x:f>IF(OR(B712="",$I$6&lt;&gt;"Complete"),"",I712-J712)</x:f>
      </x:c>
      <x:c r="L712" s="61" t="str">
        <x:f>IF(OR(B712="",$I$6&lt;&gt;"Complete"),"",IF(K712&lt;0,1,0))</x:f>
      </x:c>
    </x:row>
    <x:row r="713" ht="23" customHeight="1">
      <x:c r="A713" s="2"/>
      <x:c r="B713" s="60" t="str">
        <x:f>IF($D$6&lt;&gt;"Complete","",IF('Inputs'!$C$47+643&lt;=$D$9,'Inputs'!$C$47+643,""))</x:f>
      </x:c>
      <x:c r="C713" s="37" t="str">
        <x:f>IF(B713="","",SUMIFS($D$14:$D$23,$C$14:$C$23,B713))</x:f>
      </x:c>
      <x:c r="D713" s="37" t="str">
        <x:f>IF(B713="","",SUMIFS($E$14:$E$23,$C$14:$C$23,B713))</x:f>
      </x:c>
      <x:c r="E713" s="37" t="str">
        <x:f>IF(B713="","",C713-D713)</x:f>
      </x:c>
      <x:c r="F713" s="37" t="str">
        <x:f>IF(B713="","",F712+E713)</x:f>
      </x:c>
      <x:c r="G713" s="37" t="str">
        <x:f>IF(OR(B713="",$I$6&lt;&gt;"Complete"),"",SUMIFS($D$32:$D$51,$C$32:$C$51,B713,$I$32:$I$51,"Ready"))</x:f>
      </x:c>
      <x:c r="H713" s="37" t="str">
        <x:f>IF(OR(B713="",$I$6&lt;&gt;"Complete"),"",SUMIFS($E$32:$E$51,$C$32:$C$51,B713,$I$32:$I$51,"Ready"))</x:f>
      </x:c>
      <x:c r="I713" s="37" t="str">
        <x:f>IF(OR(B713="",$I$6&lt;&gt;"Complete"),"",I712+E713+G713-H713)</x:f>
      </x:c>
      <x:c r="J713" s="37" t="str">
        <x:f>IF(OR(B713="",$I$6&lt;&gt;"Complete"),"",'Inputs'!$C$49)</x:f>
      </x:c>
      <x:c r="K713" s="37" t="str">
        <x:f>IF(OR(B713="",$I$6&lt;&gt;"Complete"),"",I713-J713)</x:f>
      </x:c>
      <x:c r="L713" s="61" t="str">
        <x:f>IF(OR(B713="",$I$6&lt;&gt;"Complete"),"",IF(K713&lt;0,1,0))</x:f>
      </x:c>
    </x:row>
    <x:row r="714" ht="23" customHeight="1">
      <x:c r="A714" s="2"/>
      <x:c r="B714" s="60" t="str">
        <x:f>IF($D$6&lt;&gt;"Complete","",IF('Inputs'!$C$47+644&lt;=$D$9,'Inputs'!$C$47+644,""))</x:f>
      </x:c>
      <x:c r="C714" s="37" t="str">
        <x:f>IF(B714="","",SUMIFS($D$14:$D$23,$C$14:$C$23,B714))</x:f>
      </x:c>
      <x:c r="D714" s="37" t="str">
        <x:f>IF(B714="","",SUMIFS($E$14:$E$23,$C$14:$C$23,B714))</x:f>
      </x:c>
      <x:c r="E714" s="37" t="str">
        <x:f>IF(B714="","",C714-D714)</x:f>
      </x:c>
      <x:c r="F714" s="37" t="str">
        <x:f>IF(B714="","",F713+E714)</x:f>
      </x:c>
      <x:c r="G714" s="37" t="str">
        <x:f>IF(OR(B714="",$I$6&lt;&gt;"Complete"),"",SUMIFS($D$32:$D$51,$C$32:$C$51,B714,$I$32:$I$51,"Ready"))</x:f>
      </x:c>
      <x:c r="H714" s="37" t="str">
        <x:f>IF(OR(B714="",$I$6&lt;&gt;"Complete"),"",SUMIFS($E$32:$E$51,$C$32:$C$51,B714,$I$32:$I$51,"Ready"))</x:f>
      </x:c>
      <x:c r="I714" s="37" t="str">
        <x:f>IF(OR(B714="",$I$6&lt;&gt;"Complete"),"",I713+E714+G714-H714)</x:f>
      </x:c>
      <x:c r="J714" s="37" t="str">
        <x:f>IF(OR(B714="",$I$6&lt;&gt;"Complete"),"",'Inputs'!$C$49)</x:f>
      </x:c>
      <x:c r="K714" s="37" t="str">
        <x:f>IF(OR(B714="",$I$6&lt;&gt;"Complete"),"",I714-J714)</x:f>
      </x:c>
      <x:c r="L714" s="61" t="str">
        <x:f>IF(OR(B714="",$I$6&lt;&gt;"Complete"),"",IF(K714&lt;0,1,0))</x:f>
      </x:c>
    </x:row>
    <x:row r="715" ht="23" customHeight="1">
      <x:c r="A715" s="2"/>
      <x:c r="B715" s="60" t="str">
        <x:f>IF($D$6&lt;&gt;"Complete","",IF('Inputs'!$C$47+645&lt;=$D$9,'Inputs'!$C$47+645,""))</x:f>
      </x:c>
      <x:c r="C715" s="37" t="str">
        <x:f>IF(B715="","",SUMIFS($D$14:$D$23,$C$14:$C$23,B715))</x:f>
      </x:c>
      <x:c r="D715" s="37" t="str">
        <x:f>IF(B715="","",SUMIFS($E$14:$E$23,$C$14:$C$23,B715))</x:f>
      </x:c>
      <x:c r="E715" s="37" t="str">
        <x:f>IF(B715="","",C715-D715)</x:f>
      </x:c>
      <x:c r="F715" s="37" t="str">
        <x:f>IF(B715="","",F714+E715)</x:f>
      </x:c>
      <x:c r="G715" s="37" t="str">
        <x:f>IF(OR(B715="",$I$6&lt;&gt;"Complete"),"",SUMIFS($D$32:$D$51,$C$32:$C$51,B715,$I$32:$I$51,"Ready"))</x:f>
      </x:c>
      <x:c r="H715" s="37" t="str">
        <x:f>IF(OR(B715="",$I$6&lt;&gt;"Complete"),"",SUMIFS($E$32:$E$51,$C$32:$C$51,B715,$I$32:$I$51,"Ready"))</x:f>
      </x:c>
      <x:c r="I715" s="37" t="str">
        <x:f>IF(OR(B715="",$I$6&lt;&gt;"Complete"),"",I714+E715+G715-H715)</x:f>
      </x:c>
      <x:c r="J715" s="37" t="str">
        <x:f>IF(OR(B715="",$I$6&lt;&gt;"Complete"),"",'Inputs'!$C$49)</x:f>
      </x:c>
      <x:c r="K715" s="37" t="str">
        <x:f>IF(OR(B715="",$I$6&lt;&gt;"Complete"),"",I715-J715)</x:f>
      </x:c>
      <x:c r="L715" s="61" t="str">
        <x:f>IF(OR(B715="",$I$6&lt;&gt;"Complete"),"",IF(K715&lt;0,1,0))</x:f>
      </x:c>
    </x:row>
    <x:row r="716" ht="23" customHeight="1">
      <x:c r="A716" s="2"/>
      <x:c r="B716" s="60" t="str">
        <x:f>IF($D$6&lt;&gt;"Complete","",IF('Inputs'!$C$47+646&lt;=$D$9,'Inputs'!$C$47+646,""))</x:f>
      </x:c>
      <x:c r="C716" s="37" t="str">
        <x:f>IF(B716="","",SUMIFS($D$14:$D$23,$C$14:$C$23,B716))</x:f>
      </x:c>
      <x:c r="D716" s="37" t="str">
        <x:f>IF(B716="","",SUMIFS($E$14:$E$23,$C$14:$C$23,B716))</x:f>
      </x:c>
      <x:c r="E716" s="37" t="str">
        <x:f>IF(B716="","",C716-D716)</x:f>
      </x:c>
      <x:c r="F716" s="37" t="str">
        <x:f>IF(B716="","",F715+E716)</x:f>
      </x:c>
      <x:c r="G716" s="37" t="str">
        <x:f>IF(OR(B716="",$I$6&lt;&gt;"Complete"),"",SUMIFS($D$32:$D$51,$C$32:$C$51,B716,$I$32:$I$51,"Ready"))</x:f>
      </x:c>
      <x:c r="H716" s="37" t="str">
        <x:f>IF(OR(B716="",$I$6&lt;&gt;"Complete"),"",SUMIFS($E$32:$E$51,$C$32:$C$51,B716,$I$32:$I$51,"Ready"))</x:f>
      </x:c>
      <x:c r="I716" s="37" t="str">
        <x:f>IF(OR(B716="",$I$6&lt;&gt;"Complete"),"",I715+E716+G716-H716)</x:f>
      </x:c>
      <x:c r="J716" s="37" t="str">
        <x:f>IF(OR(B716="",$I$6&lt;&gt;"Complete"),"",'Inputs'!$C$49)</x:f>
      </x:c>
      <x:c r="K716" s="37" t="str">
        <x:f>IF(OR(B716="",$I$6&lt;&gt;"Complete"),"",I716-J716)</x:f>
      </x:c>
      <x:c r="L716" s="61" t="str">
        <x:f>IF(OR(B716="",$I$6&lt;&gt;"Complete"),"",IF(K716&lt;0,1,0))</x:f>
      </x:c>
    </x:row>
    <x:row r="717" ht="23" customHeight="1">
      <x:c r="A717" s="2"/>
      <x:c r="B717" s="60" t="str">
        <x:f>IF($D$6&lt;&gt;"Complete","",IF('Inputs'!$C$47+647&lt;=$D$9,'Inputs'!$C$47+647,""))</x:f>
      </x:c>
      <x:c r="C717" s="37" t="str">
        <x:f>IF(B717="","",SUMIFS($D$14:$D$23,$C$14:$C$23,B717))</x:f>
      </x:c>
      <x:c r="D717" s="37" t="str">
        <x:f>IF(B717="","",SUMIFS($E$14:$E$23,$C$14:$C$23,B717))</x:f>
      </x:c>
      <x:c r="E717" s="37" t="str">
        <x:f>IF(B717="","",C717-D717)</x:f>
      </x:c>
      <x:c r="F717" s="37" t="str">
        <x:f>IF(B717="","",F716+E717)</x:f>
      </x:c>
      <x:c r="G717" s="37" t="str">
        <x:f>IF(OR(B717="",$I$6&lt;&gt;"Complete"),"",SUMIFS($D$32:$D$51,$C$32:$C$51,B717,$I$32:$I$51,"Ready"))</x:f>
      </x:c>
      <x:c r="H717" s="37" t="str">
        <x:f>IF(OR(B717="",$I$6&lt;&gt;"Complete"),"",SUMIFS($E$32:$E$51,$C$32:$C$51,B717,$I$32:$I$51,"Ready"))</x:f>
      </x:c>
      <x:c r="I717" s="37" t="str">
        <x:f>IF(OR(B717="",$I$6&lt;&gt;"Complete"),"",I716+E717+G717-H717)</x:f>
      </x:c>
      <x:c r="J717" s="37" t="str">
        <x:f>IF(OR(B717="",$I$6&lt;&gt;"Complete"),"",'Inputs'!$C$49)</x:f>
      </x:c>
      <x:c r="K717" s="37" t="str">
        <x:f>IF(OR(B717="",$I$6&lt;&gt;"Complete"),"",I717-J717)</x:f>
      </x:c>
      <x:c r="L717" s="61" t="str">
        <x:f>IF(OR(B717="",$I$6&lt;&gt;"Complete"),"",IF(K717&lt;0,1,0))</x:f>
      </x:c>
    </x:row>
    <x:row r="718" ht="23" customHeight="1">
      <x:c r="A718" s="2"/>
      <x:c r="B718" s="60" t="str">
        <x:f>IF($D$6&lt;&gt;"Complete","",IF('Inputs'!$C$47+648&lt;=$D$9,'Inputs'!$C$47+648,""))</x:f>
      </x:c>
      <x:c r="C718" s="37" t="str">
        <x:f>IF(B718="","",SUMIFS($D$14:$D$23,$C$14:$C$23,B718))</x:f>
      </x:c>
      <x:c r="D718" s="37" t="str">
        <x:f>IF(B718="","",SUMIFS($E$14:$E$23,$C$14:$C$23,B718))</x:f>
      </x:c>
      <x:c r="E718" s="37" t="str">
        <x:f>IF(B718="","",C718-D718)</x:f>
      </x:c>
      <x:c r="F718" s="37" t="str">
        <x:f>IF(B718="","",F717+E718)</x:f>
      </x:c>
      <x:c r="G718" s="37" t="str">
        <x:f>IF(OR(B718="",$I$6&lt;&gt;"Complete"),"",SUMIFS($D$32:$D$51,$C$32:$C$51,B718,$I$32:$I$51,"Ready"))</x:f>
      </x:c>
      <x:c r="H718" s="37" t="str">
        <x:f>IF(OR(B718="",$I$6&lt;&gt;"Complete"),"",SUMIFS($E$32:$E$51,$C$32:$C$51,B718,$I$32:$I$51,"Ready"))</x:f>
      </x:c>
      <x:c r="I718" s="37" t="str">
        <x:f>IF(OR(B718="",$I$6&lt;&gt;"Complete"),"",I717+E718+G718-H718)</x:f>
      </x:c>
      <x:c r="J718" s="37" t="str">
        <x:f>IF(OR(B718="",$I$6&lt;&gt;"Complete"),"",'Inputs'!$C$49)</x:f>
      </x:c>
      <x:c r="K718" s="37" t="str">
        <x:f>IF(OR(B718="",$I$6&lt;&gt;"Complete"),"",I718-J718)</x:f>
      </x:c>
      <x:c r="L718" s="61" t="str">
        <x:f>IF(OR(B718="",$I$6&lt;&gt;"Complete"),"",IF(K718&lt;0,1,0))</x:f>
      </x:c>
    </x:row>
    <x:row r="719" ht="23" customHeight="1">
      <x:c r="A719" s="2"/>
      <x:c r="B719" s="60" t="str">
        <x:f>IF($D$6&lt;&gt;"Complete","",IF('Inputs'!$C$47+649&lt;=$D$9,'Inputs'!$C$47+649,""))</x:f>
      </x:c>
      <x:c r="C719" s="37" t="str">
        <x:f>IF(B719="","",SUMIFS($D$14:$D$23,$C$14:$C$23,B719))</x:f>
      </x:c>
      <x:c r="D719" s="37" t="str">
        <x:f>IF(B719="","",SUMIFS($E$14:$E$23,$C$14:$C$23,B719))</x:f>
      </x:c>
      <x:c r="E719" s="37" t="str">
        <x:f>IF(B719="","",C719-D719)</x:f>
      </x:c>
      <x:c r="F719" s="37" t="str">
        <x:f>IF(B719="","",F718+E719)</x:f>
      </x:c>
      <x:c r="G719" s="37" t="str">
        <x:f>IF(OR(B719="",$I$6&lt;&gt;"Complete"),"",SUMIFS($D$32:$D$51,$C$32:$C$51,B719,$I$32:$I$51,"Ready"))</x:f>
      </x:c>
      <x:c r="H719" s="37" t="str">
        <x:f>IF(OR(B719="",$I$6&lt;&gt;"Complete"),"",SUMIFS($E$32:$E$51,$C$32:$C$51,B719,$I$32:$I$51,"Ready"))</x:f>
      </x:c>
      <x:c r="I719" s="37" t="str">
        <x:f>IF(OR(B719="",$I$6&lt;&gt;"Complete"),"",I718+E719+G719-H719)</x:f>
      </x:c>
      <x:c r="J719" s="37" t="str">
        <x:f>IF(OR(B719="",$I$6&lt;&gt;"Complete"),"",'Inputs'!$C$49)</x:f>
      </x:c>
      <x:c r="K719" s="37" t="str">
        <x:f>IF(OR(B719="",$I$6&lt;&gt;"Complete"),"",I719-J719)</x:f>
      </x:c>
      <x:c r="L719" s="61" t="str">
        <x:f>IF(OR(B719="",$I$6&lt;&gt;"Complete"),"",IF(K719&lt;0,1,0))</x:f>
      </x:c>
    </x:row>
    <x:row r="720" ht="23" customHeight="1">
      <x:c r="A720" s="2"/>
      <x:c r="B720" s="60" t="str">
        <x:f>IF($D$6&lt;&gt;"Complete","",IF('Inputs'!$C$47+650&lt;=$D$9,'Inputs'!$C$47+650,""))</x:f>
      </x:c>
      <x:c r="C720" s="37" t="str">
        <x:f>IF(B720="","",SUMIFS($D$14:$D$23,$C$14:$C$23,B720))</x:f>
      </x:c>
      <x:c r="D720" s="37" t="str">
        <x:f>IF(B720="","",SUMIFS($E$14:$E$23,$C$14:$C$23,B720))</x:f>
      </x:c>
      <x:c r="E720" s="37" t="str">
        <x:f>IF(B720="","",C720-D720)</x:f>
      </x:c>
      <x:c r="F720" s="37" t="str">
        <x:f>IF(B720="","",F719+E720)</x:f>
      </x:c>
      <x:c r="G720" s="37" t="str">
        <x:f>IF(OR(B720="",$I$6&lt;&gt;"Complete"),"",SUMIFS($D$32:$D$51,$C$32:$C$51,B720,$I$32:$I$51,"Ready"))</x:f>
      </x:c>
      <x:c r="H720" s="37" t="str">
        <x:f>IF(OR(B720="",$I$6&lt;&gt;"Complete"),"",SUMIFS($E$32:$E$51,$C$32:$C$51,B720,$I$32:$I$51,"Ready"))</x:f>
      </x:c>
      <x:c r="I720" s="37" t="str">
        <x:f>IF(OR(B720="",$I$6&lt;&gt;"Complete"),"",I719+E720+G720-H720)</x:f>
      </x:c>
      <x:c r="J720" s="37" t="str">
        <x:f>IF(OR(B720="",$I$6&lt;&gt;"Complete"),"",'Inputs'!$C$49)</x:f>
      </x:c>
      <x:c r="K720" s="37" t="str">
        <x:f>IF(OR(B720="",$I$6&lt;&gt;"Complete"),"",I720-J720)</x:f>
      </x:c>
      <x:c r="L720" s="61" t="str">
        <x:f>IF(OR(B720="",$I$6&lt;&gt;"Complete"),"",IF(K720&lt;0,1,0))</x:f>
      </x:c>
    </x:row>
    <x:row r="721" ht="23" customHeight="1">
      <x:c r="A721" s="2"/>
      <x:c r="B721" s="60" t="str">
        <x:f>IF($D$6&lt;&gt;"Complete","",IF('Inputs'!$C$47+651&lt;=$D$9,'Inputs'!$C$47+651,""))</x:f>
      </x:c>
      <x:c r="C721" s="37" t="str">
        <x:f>IF(B721="","",SUMIFS($D$14:$D$23,$C$14:$C$23,B721))</x:f>
      </x:c>
      <x:c r="D721" s="37" t="str">
        <x:f>IF(B721="","",SUMIFS($E$14:$E$23,$C$14:$C$23,B721))</x:f>
      </x:c>
      <x:c r="E721" s="37" t="str">
        <x:f>IF(B721="","",C721-D721)</x:f>
      </x:c>
      <x:c r="F721" s="37" t="str">
        <x:f>IF(B721="","",F720+E721)</x:f>
      </x:c>
      <x:c r="G721" s="37" t="str">
        <x:f>IF(OR(B721="",$I$6&lt;&gt;"Complete"),"",SUMIFS($D$32:$D$51,$C$32:$C$51,B721,$I$32:$I$51,"Ready"))</x:f>
      </x:c>
      <x:c r="H721" s="37" t="str">
        <x:f>IF(OR(B721="",$I$6&lt;&gt;"Complete"),"",SUMIFS($E$32:$E$51,$C$32:$C$51,B721,$I$32:$I$51,"Ready"))</x:f>
      </x:c>
      <x:c r="I721" s="37" t="str">
        <x:f>IF(OR(B721="",$I$6&lt;&gt;"Complete"),"",I720+E721+G721-H721)</x:f>
      </x:c>
      <x:c r="J721" s="37" t="str">
        <x:f>IF(OR(B721="",$I$6&lt;&gt;"Complete"),"",'Inputs'!$C$49)</x:f>
      </x:c>
      <x:c r="K721" s="37" t="str">
        <x:f>IF(OR(B721="",$I$6&lt;&gt;"Complete"),"",I721-J721)</x:f>
      </x:c>
      <x:c r="L721" s="61" t="str">
        <x:f>IF(OR(B721="",$I$6&lt;&gt;"Complete"),"",IF(K721&lt;0,1,0))</x:f>
      </x:c>
    </x:row>
    <x:row r="722" ht="23" customHeight="1">
      <x:c r="A722" s="2"/>
      <x:c r="B722" s="60" t="str">
        <x:f>IF($D$6&lt;&gt;"Complete","",IF('Inputs'!$C$47+652&lt;=$D$9,'Inputs'!$C$47+652,""))</x:f>
      </x:c>
      <x:c r="C722" s="37" t="str">
        <x:f>IF(B722="","",SUMIFS($D$14:$D$23,$C$14:$C$23,B722))</x:f>
      </x:c>
      <x:c r="D722" s="37" t="str">
        <x:f>IF(B722="","",SUMIFS($E$14:$E$23,$C$14:$C$23,B722))</x:f>
      </x:c>
      <x:c r="E722" s="37" t="str">
        <x:f>IF(B722="","",C722-D722)</x:f>
      </x:c>
      <x:c r="F722" s="37" t="str">
        <x:f>IF(B722="","",F721+E722)</x:f>
      </x:c>
      <x:c r="G722" s="37" t="str">
        <x:f>IF(OR(B722="",$I$6&lt;&gt;"Complete"),"",SUMIFS($D$32:$D$51,$C$32:$C$51,B722,$I$32:$I$51,"Ready"))</x:f>
      </x:c>
      <x:c r="H722" s="37" t="str">
        <x:f>IF(OR(B722="",$I$6&lt;&gt;"Complete"),"",SUMIFS($E$32:$E$51,$C$32:$C$51,B722,$I$32:$I$51,"Ready"))</x:f>
      </x:c>
      <x:c r="I722" s="37" t="str">
        <x:f>IF(OR(B722="",$I$6&lt;&gt;"Complete"),"",I721+E722+G722-H722)</x:f>
      </x:c>
      <x:c r="J722" s="37" t="str">
        <x:f>IF(OR(B722="",$I$6&lt;&gt;"Complete"),"",'Inputs'!$C$49)</x:f>
      </x:c>
      <x:c r="K722" s="37" t="str">
        <x:f>IF(OR(B722="",$I$6&lt;&gt;"Complete"),"",I722-J722)</x:f>
      </x:c>
      <x:c r="L722" s="61" t="str">
        <x:f>IF(OR(B722="",$I$6&lt;&gt;"Complete"),"",IF(K722&lt;0,1,0))</x:f>
      </x:c>
    </x:row>
    <x:row r="723" ht="23" customHeight="1">
      <x:c r="A723" s="2"/>
      <x:c r="B723" s="60" t="str">
        <x:f>IF($D$6&lt;&gt;"Complete","",IF('Inputs'!$C$47+653&lt;=$D$9,'Inputs'!$C$47+653,""))</x:f>
      </x:c>
      <x:c r="C723" s="37" t="str">
        <x:f>IF(B723="","",SUMIFS($D$14:$D$23,$C$14:$C$23,B723))</x:f>
      </x:c>
      <x:c r="D723" s="37" t="str">
        <x:f>IF(B723="","",SUMIFS($E$14:$E$23,$C$14:$C$23,B723))</x:f>
      </x:c>
      <x:c r="E723" s="37" t="str">
        <x:f>IF(B723="","",C723-D723)</x:f>
      </x:c>
      <x:c r="F723" s="37" t="str">
        <x:f>IF(B723="","",F722+E723)</x:f>
      </x:c>
      <x:c r="G723" s="37" t="str">
        <x:f>IF(OR(B723="",$I$6&lt;&gt;"Complete"),"",SUMIFS($D$32:$D$51,$C$32:$C$51,B723,$I$32:$I$51,"Ready"))</x:f>
      </x:c>
      <x:c r="H723" s="37" t="str">
        <x:f>IF(OR(B723="",$I$6&lt;&gt;"Complete"),"",SUMIFS($E$32:$E$51,$C$32:$C$51,B723,$I$32:$I$51,"Ready"))</x:f>
      </x:c>
      <x:c r="I723" s="37" t="str">
        <x:f>IF(OR(B723="",$I$6&lt;&gt;"Complete"),"",I722+E723+G723-H723)</x:f>
      </x:c>
      <x:c r="J723" s="37" t="str">
        <x:f>IF(OR(B723="",$I$6&lt;&gt;"Complete"),"",'Inputs'!$C$49)</x:f>
      </x:c>
      <x:c r="K723" s="37" t="str">
        <x:f>IF(OR(B723="",$I$6&lt;&gt;"Complete"),"",I723-J723)</x:f>
      </x:c>
      <x:c r="L723" s="61" t="str">
        <x:f>IF(OR(B723="",$I$6&lt;&gt;"Complete"),"",IF(K723&lt;0,1,0))</x:f>
      </x:c>
    </x:row>
    <x:row r="724" ht="23" customHeight="1">
      <x:c r="A724" s="2"/>
      <x:c r="B724" s="60" t="str">
        <x:f>IF($D$6&lt;&gt;"Complete","",IF('Inputs'!$C$47+654&lt;=$D$9,'Inputs'!$C$47+654,""))</x:f>
      </x:c>
      <x:c r="C724" s="37" t="str">
        <x:f>IF(B724="","",SUMIFS($D$14:$D$23,$C$14:$C$23,B724))</x:f>
      </x:c>
      <x:c r="D724" s="37" t="str">
        <x:f>IF(B724="","",SUMIFS($E$14:$E$23,$C$14:$C$23,B724))</x:f>
      </x:c>
      <x:c r="E724" s="37" t="str">
        <x:f>IF(B724="","",C724-D724)</x:f>
      </x:c>
      <x:c r="F724" s="37" t="str">
        <x:f>IF(B724="","",F723+E724)</x:f>
      </x:c>
      <x:c r="G724" s="37" t="str">
        <x:f>IF(OR(B724="",$I$6&lt;&gt;"Complete"),"",SUMIFS($D$32:$D$51,$C$32:$C$51,B724,$I$32:$I$51,"Ready"))</x:f>
      </x:c>
      <x:c r="H724" s="37" t="str">
        <x:f>IF(OR(B724="",$I$6&lt;&gt;"Complete"),"",SUMIFS($E$32:$E$51,$C$32:$C$51,B724,$I$32:$I$51,"Ready"))</x:f>
      </x:c>
      <x:c r="I724" s="37" t="str">
        <x:f>IF(OR(B724="",$I$6&lt;&gt;"Complete"),"",I723+E724+G724-H724)</x:f>
      </x:c>
      <x:c r="J724" s="37" t="str">
        <x:f>IF(OR(B724="",$I$6&lt;&gt;"Complete"),"",'Inputs'!$C$49)</x:f>
      </x:c>
      <x:c r="K724" s="37" t="str">
        <x:f>IF(OR(B724="",$I$6&lt;&gt;"Complete"),"",I724-J724)</x:f>
      </x:c>
      <x:c r="L724" s="61" t="str">
        <x:f>IF(OR(B724="",$I$6&lt;&gt;"Complete"),"",IF(K724&lt;0,1,0))</x:f>
      </x:c>
    </x:row>
    <x:row r="725" ht="23" customHeight="1">
      <x:c r="A725" s="2"/>
      <x:c r="B725" s="60" t="str">
        <x:f>IF($D$6&lt;&gt;"Complete","",IF('Inputs'!$C$47+655&lt;=$D$9,'Inputs'!$C$47+655,""))</x:f>
      </x:c>
      <x:c r="C725" s="37" t="str">
        <x:f>IF(B725="","",SUMIFS($D$14:$D$23,$C$14:$C$23,B725))</x:f>
      </x:c>
      <x:c r="D725" s="37" t="str">
        <x:f>IF(B725="","",SUMIFS($E$14:$E$23,$C$14:$C$23,B725))</x:f>
      </x:c>
      <x:c r="E725" s="37" t="str">
        <x:f>IF(B725="","",C725-D725)</x:f>
      </x:c>
      <x:c r="F725" s="37" t="str">
        <x:f>IF(B725="","",F724+E725)</x:f>
      </x:c>
      <x:c r="G725" s="37" t="str">
        <x:f>IF(OR(B725="",$I$6&lt;&gt;"Complete"),"",SUMIFS($D$32:$D$51,$C$32:$C$51,B725,$I$32:$I$51,"Ready"))</x:f>
      </x:c>
      <x:c r="H725" s="37" t="str">
        <x:f>IF(OR(B725="",$I$6&lt;&gt;"Complete"),"",SUMIFS($E$32:$E$51,$C$32:$C$51,B725,$I$32:$I$51,"Ready"))</x:f>
      </x:c>
      <x:c r="I725" s="37" t="str">
        <x:f>IF(OR(B725="",$I$6&lt;&gt;"Complete"),"",I724+E725+G725-H725)</x:f>
      </x:c>
      <x:c r="J725" s="37" t="str">
        <x:f>IF(OR(B725="",$I$6&lt;&gt;"Complete"),"",'Inputs'!$C$49)</x:f>
      </x:c>
      <x:c r="K725" s="37" t="str">
        <x:f>IF(OR(B725="",$I$6&lt;&gt;"Complete"),"",I725-J725)</x:f>
      </x:c>
      <x:c r="L725" s="61" t="str">
        <x:f>IF(OR(B725="",$I$6&lt;&gt;"Complete"),"",IF(K725&lt;0,1,0))</x:f>
      </x:c>
    </x:row>
    <x:row r="726" ht="23" customHeight="1">
      <x:c r="A726" s="2"/>
      <x:c r="B726" s="60" t="str">
        <x:f>IF($D$6&lt;&gt;"Complete","",IF('Inputs'!$C$47+656&lt;=$D$9,'Inputs'!$C$47+656,""))</x:f>
      </x:c>
      <x:c r="C726" s="37" t="str">
        <x:f>IF(B726="","",SUMIFS($D$14:$D$23,$C$14:$C$23,B726))</x:f>
      </x:c>
      <x:c r="D726" s="37" t="str">
        <x:f>IF(B726="","",SUMIFS($E$14:$E$23,$C$14:$C$23,B726))</x:f>
      </x:c>
      <x:c r="E726" s="37" t="str">
        <x:f>IF(B726="","",C726-D726)</x:f>
      </x:c>
      <x:c r="F726" s="37" t="str">
        <x:f>IF(B726="","",F725+E726)</x:f>
      </x:c>
      <x:c r="G726" s="37" t="str">
        <x:f>IF(OR(B726="",$I$6&lt;&gt;"Complete"),"",SUMIFS($D$32:$D$51,$C$32:$C$51,B726,$I$32:$I$51,"Ready"))</x:f>
      </x:c>
      <x:c r="H726" s="37" t="str">
        <x:f>IF(OR(B726="",$I$6&lt;&gt;"Complete"),"",SUMIFS($E$32:$E$51,$C$32:$C$51,B726,$I$32:$I$51,"Ready"))</x:f>
      </x:c>
      <x:c r="I726" s="37" t="str">
        <x:f>IF(OR(B726="",$I$6&lt;&gt;"Complete"),"",I725+E726+G726-H726)</x:f>
      </x:c>
      <x:c r="J726" s="37" t="str">
        <x:f>IF(OR(B726="",$I$6&lt;&gt;"Complete"),"",'Inputs'!$C$49)</x:f>
      </x:c>
      <x:c r="K726" s="37" t="str">
        <x:f>IF(OR(B726="",$I$6&lt;&gt;"Complete"),"",I726-J726)</x:f>
      </x:c>
      <x:c r="L726" s="61" t="str">
        <x:f>IF(OR(B726="",$I$6&lt;&gt;"Complete"),"",IF(K726&lt;0,1,0))</x:f>
      </x:c>
    </x:row>
    <x:row r="727" ht="23" customHeight="1">
      <x:c r="A727" s="2"/>
      <x:c r="B727" s="60" t="str">
        <x:f>IF($D$6&lt;&gt;"Complete","",IF('Inputs'!$C$47+657&lt;=$D$9,'Inputs'!$C$47+657,""))</x:f>
      </x:c>
      <x:c r="C727" s="37" t="str">
        <x:f>IF(B727="","",SUMIFS($D$14:$D$23,$C$14:$C$23,B727))</x:f>
      </x:c>
      <x:c r="D727" s="37" t="str">
        <x:f>IF(B727="","",SUMIFS($E$14:$E$23,$C$14:$C$23,B727))</x:f>
      </x:c>
      <x:c r="E727" s="37" t="str">
        <x:f>IF(B727="","",C727-D727)</x:f>
      </x:c>
      <x:c r="F727" s="37" t="str">
        <x:f>IF(B727="","",F726+E727)</x:f>
      </x:c>
      <x:c r="G727" s="37" t="str">
        <x:f>IF(OR(B727="",$I$6&lt;&gt;"Complete"),"",SUMIFS($D$32:$D$51,$C$32:$C$51,B727,$I$32:$I$51,"Ready"))</x:f>
      </x:c>
      <x:c r="H727" s="37" t="str">
        <x:f>IF(OR(B727="",$I$6&lt;&gt;"Complete"),"",SUMIFS($E$32:$E$51,$C$32:$C$51,B727,$I$32:$I$51,"Ready"))</x:f>
      </x:c>
      <x:c r="I727" s="37" t="str">
        <x:f>IF(OR(B727="",$I$6&lt;&gt;"Complete"),"",I726+E727+G727-H727)</x:f>
      </x:c>
      <x:c r="J727" s="37" t="str">
        <x:f>IF(OR(B727="",$I$6&lt;&gt;"Complete"),"",'Inputs'!$C$49)</x:f>
      </x:c>
      <x:c r="K727" s="37" t="str">
        <x:f>IF(OR(B727="",$I$6&lt;&gt;"Complete"),"",I727-J727)</x:f>
      </x:c>
      <x:c r="L727" s="61" t="str">
        <x:f>IF(OR(B727="",$I$6&lt;&gt;"Complete"),"",IF(K727&lt;0,1,0))</x:f>
      </x:c>
    </x:row>
    <x:row r="728" ht="23" customHeight="1">
      <x:c r="A728" s="2"/>
      <x:c r="B728" s="60" t="str">
        <x:f>IF($D$6&lt;&gt;"Complete","",IF('Inputs'!$C$47+658&lt;=$D$9,'Inputs'!$C$47+658,""))</x:f>
      </x:c>
      <x:c r="C728" s="37" t="str">
        <x:f>IF(B728="","",SUMIFS($D$14:$D$23,$C$14:$C$23,B728))</x:f>
      </x:c>
      <x:c r="D728" s="37" t="str">
        <x:f>IF(B728="","",SUMIFS($E$14:$E$23,$C$14:$C$23,B728))</x:f>
      </x:c>
      <x:c r="E728" s="37" t="str">
        <x:f>IF(B728="","",C728-D728)</x:f>
      </x:c>
      <x:c r="F728" s="37" t="str">
        <x:f>IF(B728="","",F727+E728)</x:f>
      </x:c>
      <x:c r="G728" s="37" t="str">
        <x:f>IF(OR(B728="",$I$6&lt;&gt;"Complete"),"",SUMIFS($D$32:$D$51,$C$32:$C$51,B728,$I$32:$I$51,"Ready"))</x:f>
      </x:c>
      <x:c r="H728" s="37" t="str">
        <x:f>IF(OR(B728="",$I$6&lt;&gt;"Complete"),"",SUMIFS($E$32:$E$51,$C$32:$C$51,B728,$I$32:$I$51,"Ready"))</x:f>
      </x:c>
      <x:c r="I728" s="37" t="str">
        <x:f>IF(OR(B728="",$I$6&lt;&gt;"Complete"),"",I727+E728+G728-H728)</x:f>
      </x:c>
      <x:c r="J728" s="37" t="str">
        <x:f>IF(OR(B728="",$I$6&lt;&gt;"Complete"),"",'Inputs'!$C$49)</x:f>
      </x:c>
      <x:c r="K728" s="37" t="str">
        <x:f>IF(OR(B728="",$I$6&lt;&gt;"Complete"),"",I728-J728)</x:f>
      </x:c>
      <x:c r="L728" s="61" t="str">
        <x:f>IF(OR(B728="",$I$6&lt;&gt;"Complete"),"",IF(K728&lt;0,1,0))</x:f>
      </x:c>
    </x:row>
    <x:row r="729" ht="23" customHeight="1">
      <x:c r="A729" s="2"/>
      <x:c r="B729" s="60" t="str">
        <x:f>IF($D$6&lt;&gt;"Complete","",IF('Inputs'!$C$47+659&lt;=$D$9,'Inputs'!$C$47+659,""))</x:f>
      </x:c>
      <x:c r="C729" s="37" t="str">
        <x:f>IF(B729="","",SUMIFS($D$14:$D$23,$C$14:$C$23,B729))</x:f>
      </x:c>
      <x:c r="D729" s="37" t="str">
        <x:f>IF(B729="","",SUMIFS($E$14:$E$23,$C$14:$C$23,B729))</x:f>
      </x:c>
      <x:c r="E729" s="37" t="str">
        <x:f>IF(B729="","",C729-D729)</x:f>
      </x:c>
      <x:c r="F729" s="37" t="str">
        <x:f>IF(B729="","",F728+E729)</x:f>
      </x:c>
      <x:c r="G729" s="37" t="str">
        <x:f>IF(OR(B729="",$I$6&lt;&gt;"Complete"),"",SUMIFS($D$32:$D$51,$C$32:$C$51,B729,$I$32:$I$51,"Ready"))</x:f>
      </x:c>
      <x:c r="H729" s="37" t="str">
        <x:f>IF(OR(B729="",$I$6&lt;&gt;"Complete"),"",SUMIFS($E$32:$E$51,$C$32:$C$51,B729,$I$32:$I$51,"Ready"))</x:f>
      </x:c>
      <x:c r="I729" s="37" t="str">
        <x:f>IF(OR(B729="",$I$6&lt;&gt;"Complete"),"",I728+E729+G729-H729)</x:f>
      </x:c>
      <x:c r="J729" s="37" t="str">
        <x:f>IF(OR(B729="",$I$6&lt;&gt;"Complete"),"",'Inputs'!$C$49)</x:f>
      </x:c>
      <x:c r="K729" s="37" t="str">
        <x:f>IF(OR(B729="",$I$6&lt;&gt;"Complete"),"",I729-J729)</x:f>
      </x:c>
      <x:c r="L729" s="61" t="str">
        <x:f>IF(OR(B729="",$I$6&lt;&gt;"Complete"),"",IF(K729&lt;0,1,0))</x:f>
      </x:c>
    </x:row>
    <x:row r="730" ht="23" customHeight="1">
      <x:c r="A730" s="2"/>
      <x:c r="B730" s="60" t="str">
        <x:f>IF($D$6&lt;&gt;"Complete","",IF('Inputs'!$C$47+660&lt;=$D$9,'Inputs'!$C$47+660,""))</x:f>
      </x:c>
      <x:c r="C730" s="37" t="str">
        <x:f>IF(B730="","",SUMIFS($D$14:$D$23,$C$14:$C$23,B730))</x:f>
      </x:c>
      <x:c r="D730" s="37" t="str">
        <x:f>IF(B730="","",SUMIFS($E$14:$E$23,$C$14:$C$23,B730))</x:f>
      </x:c>
      <x:c r="E730" s="37" t="str">
        <x:f>IF(B730="","",C730-D730)</x:f>
      </x:c>
      <x:c r="F730" s="37" t="str">
        <x:f>IF(B730="","",F729+E730)</x:f>
      </x:c>
      <x:c r="G730" s="37" t="str">
        <x:f>IF(OR(B730="",$I$6&lt;&gt;"Complete"),"",SUMIFS($D$32:$D$51,$C$32:$C$51,B730,$I$32:$I$51,"Ready"))</x:f>
      </x:c>
      <x:c r="H730" s="37" t="str">
        <x:f>IF(OR(B730="",$I$6&lt;&gt;"Complete"),"",SUMIFS($E$32:$E$51,$C$32:$C$51,B730,$I$32:$I$51,"Ready"))</x:f>
      </x:c>
      <x:c r="I730" s="37" t="str">
        <x:f>IF(OR(B730="",$I$6&lt;&gt;"Complete"),"",I729+E730+G730-H730)</x:f>
      </x:c>
      <x:c r="J730" s="37" t="str">
        <x:f>IF(OR(B730="",$I$6&lt;&gt;"Complete"),"",'Inputs'!$C$49)</x:f>
      </x:c>
      <x:c r="K730" s="37" t="str">
        <x:f>IF(OR(B730="",$I$6&lt;&gt;"Complete"),"",I730-J730)</x:f>
      </x:c>
      <x:c r="L730" s="61" t="str">
        <x:f>IF(OR(B730="",$I$6&lt;&gt;"Complete"),"",IF(K730&lt;0,1,0))</x:f>
      </x:c>
    </x:row>
    <x:row r="731" ht="23" customHeight="1">
      <x:c r="A731" s="2"/>
      <x:c r="B731" s="60" t="str">
        <x:f>IF($D$6&lt;&gt;"Complete","",IF('Inputs'!$C$47+661&lt;=$D$9,'Inputs'!$C$47+661,""))</x:f>
      </x:c>
      <x:c r="C731" s="37" t="str">
        <x:f>IF(B731="","",SUMIFS($D$14:$D$23,$C$14:$C$23,B731))</x:f>
      </x:c>
      <x:c r="D731" s="37" t="str">
        <x:f>IF(B731="","",SUMIFS($E$14:$E$23,$C$14:$C$23,B731))</x:f>
      </x:c>
      <x:c r="E731" s="37" t="str">
        <x:f>IF(B731="","",C731-D731)</x:f>
      </x:c>
      <x:c r="F731" s="37" t="str">
        <x:f>IF(B731="","",F730+E731)</x:f>
      </x:c>
      <x:c r="G731" s="37" t="str">
        <x:f>IF(OR(B731="",$I$6&lt;&gt;"Complete"),"",SUMIFS($D$32:$D$51,$C$32:$C$51,B731,$I$32:$I$51,"Ready"))</x:f>
      </x:c>
      <x:c r="H731" s="37" t="str">
        <x:f>IF(OR(B731="",$I$6&lt;&gt;"Complete"),"",SUMIFS($E$32:$E$51,$C$32:$C$51,B731,$I$32:$I$51,"Ready"))</x:f>
      </x:c>
      <x:c r="I731" s="37" t="str">
        <x:f>IF(OR(B731="",$I$6&lt;&gt;"Complete"),"",I730+E731+G731-H731)</x:f>
      </x:c>
      <x:c r="J731" s="37" t="str">
        <x:f>IF(OR(B731="",$I$6&lt;&gt;"Complete"),"",'Inputs'!$C$49)</x:f>
      </x:c>
      <x:c r="K731" s="37" t="str">
        <x:f>IF(OR(B731="",$I$6&lt;&gt;"Complete"),"",I731-J731)</x:f>
      </x:c>
      <x:c r="L731" s="61" t="str">
        <x:f>IF(OR(B731="",$I$6&lt;&gt;"Complete"),"",IF(K731&lt;0,1,0))</x:f>
      </x:c>
    </x:row>
    <x:row r="732" ht="23" customHeight="1">
      <x:c r="A732" s="2"/>
      <x:c r="B732" s="60" t="str">
        <x:f>IF($D$6&lt;&gt;"Complete","",IF('Inputs'!$C$47+662&lt;=$D$9,'Inputs'!$C$47+662,""))</x:f>
      </x:c>
      <x:c r="C732" s="37" t="str">
        <x:f>IF(B732="","",SUMIFS($D$14:$D$23,$C$14:$C$23,B732))</x:f>
      </x:c>
      <x:c r="D732" s="37" t="str">
        <x:f>IF(B732="","",SUMIFS($E$14:$E$23,$C$14:$C$23,B732))</x:f>
      </x:c>
      <x:c r="E732" s="37" t="str">
        <x:f>IF(B732="","",C732-D732)</x:f>
      </x:c>
      <x:c r="F732" s="37" t="str">
        <x:f>IF(B732="","",F731+E732)</x:f>
      </x:c>
      <x:c r="G732" s="37" t="str">
        <x:f>IF(OR(B732="",$I$6&lt;&gt;"Complete"),"",SUMIFS($D$32:$D$51,$C$32:$C$51,B732,$I$32:$I$51,"Ready"))</x:f>
      </x:c>
      <x:c r="H732" s="37" t="str">
        <x:f>IF(OR(B732="",$I$6&lt;&gt;"Complete"),"",SUMIFS($E$32:$E$51,$C$32:$C$51,B732,$I$32:$I$51,"Ready"))</x:f>
      </x:c>
      <x:c r="I732" s="37" t="str">
        <x:f>IF(OR(B732="",$I$6&lt;&gt;"Complete"),"",I731+E732+G732-H732)</x:f>
      </x:c>
      <x:c r="J732" s="37" t="str">
        <x:f>IF(OR(B732="",$I$6&lt;&gt;"Complete"),"",'Inputs'!$C$49)</x:f>
      </x:c>
      <x:c r="K732" s="37" t="str">
        <x:f>IF(OR(B732="",$I$6&lt;&gt;"Complete"),"",I732-J732)</x:f>
      </x:c>
      <x:c r="L732" s="61" t="str">
        <x:f>IF(OR(B732="",$I$6&lt;&gt;"Complete"),"",IF(K732&lt;0,1,0))</x:f>
      </x:c>
    </x:row>
    <x:row r="733" ht="23" customHeight="1">
      <x:c r="A733" s="2"/>
      <x:c r="B733" s="60" t="str">
        <x:f>IF($D$6&lt;&gt;"Complete","",IF('Inputs'!$C$47+663&lt;=$D$9,'Inputs'!$C$47+663,""))</x:f>
      </x:c>
      <x:c r="C733" s="37" t="str">
        <x:f>IF(B733="","",SUMIFS($D$14:$D$23,$C$14:$C$23,B733))</x:f>
      </x:c>
      <x:c r="D733" s="37" t="str">
        <x:f>IF(B733="","",SUMIFS($E$14:$E$23,$C$14:$C$23,B733))</x:f>
      </x:c>
      <x:c r="E733" s="37" t="str">
        <x:f>IF(B733="","",C733-D733)</x:f>
      </x:c>
      <x:c r="F733" s="37" t="str">
        <x:f>IF(B733="","",F732+E733)</x:f>
      </x:c>
      <x:c r="G733" s="37" t="str">
        <x:f>IF(OR(B733="",$I$6&lt;&gt;"Complete"),"",SUMIFS($D$32:$D$51,$C$32:$C$51,B733,$I$32:$I$51,"Ready"))</x:f>
      </x:c>
      <x:c r="H733" s="37" t="str">
        <x:f>IF(OR(B733="",$I$6&lt;&gt;"Complete"),"",SUMIFS($E$32:$E$51,$C$32:$C$51,B733,$I$32:$I$51,"Ready"))</x:f>
      </x:c>
      <x:c r="I733" s="37" t="str">
        <x:f>IF(OR(B733="",$I$6&lt;&gt;"Complete"),"",I732+E733+G733-H733)</x:f>
      </x:c>
      <x:c r="J733" s="37" t="str">
        <x:f>IF(OR(B733="",$I$6&lt;&gt;"Complete"),"",'Inputs'!$C$49)</x:f>
      </x:c>
      <x:c r="K733" s="37" t="str">
        <x:f>IF(OR(B733="",$I$6&lt;&gt;"Complete"),"",I733-J733)</x:f>
      </x:c>
      <x:c r="L733" s="61" t="str">
        <x:f>IF(OR(B733="",$I$6&lt;&gt;"Complete"),"",IF(K733&lt;0,1,0))</x:f>
      </x:c>
    </x:row>
    <x:row r="734" ht="23" customHeight="1">
      <x:c r="A734" s="2"/>
      <x:c r="B734" s="60" t="str">
        <x:f>IF($D$6&lt;&gt;"Complete","",IF('Inputs'!$C$47+664&lt;=$D$9,'Inputs'!$C$47+664,""))</x:f>
      </x:c>
      <x:c r="C734" s="37" t="str">
        <x:f>IF(B734="","",SUMIFS($D$14:$D$23,$C$14:$C$23,B734))</x:f>
      </x:c>
      <x:c r="D734" s="37" t="str">
        <x:f>IF(B734="","",SUMIFS($E$14:$E$23,$C$14:$C$23,B734))</x:f>
      </x:c>
      <x:c r="E734" s="37" t="str">
        <x:f>IF(B734="","",C734-D734)</x:f>
      </x:c>
      <x:c r="F734" s="37" t="str">
        <x:f>IF(B734="","",F733+E734)</x:f>
      </x:c>
      <x:c r="G734" s="37" t="str">
        <x:f>IF(OR(B734="",$I$6&lt;&gt;"Complete"),"",SUMIFS($D$32:$D$51,$C$32:$C$51,B734,$I$32:$I$51,"Ready"))</x:f>
      </x:c>
      <x:c r="H734" s="37" t="str">
        <x:f>IF(OR(B734="",$I$6&lt;&gt;"Complete"),"",SUMIFS($E$32:$E$51,$C$32:$C$51,B734,$I$32:$I$51,"Ready"))</x:f>
      </x:c>
      <x:c r="I734" s="37" t="str">
        <x:f>IF(OR(B734="",$I$6&lt;&gt;"Complete"),"",I733+E734+G734-H734)</x:f>
      </x:c>
      <x:c r="J734" s="37" t="str">
        <x:f>IF(OR(B734="",$I$6&lt;&gt;"Complete"),"",'Inputs'!$C$49)</x:f>
      </x:c>
      <x:c r="K734" s="37" t="str">
        <x:f>IF(OR(B734="",$I$6&lt;&gt;"Complete"),"",I734-J734)</x:f>
      </x:c>
      <x:c r="L734" s="61" t="str">
        <x:f>IF(OR(B734="",$I$6&lt;&gt;"Complete"),"",IF(K734&lt;0,1,0))</x:f>
      </x:c>
    </x:row>
    <x:row r="735" ht="23" customHeight="1">
      <x:c r="A735" s="2"/>
      <x:c r="B735" s="60" t="str">
        <x:f>IF($D$6&lt;&gt;"Complete","",IF('Inputs'!$C$47+665&lt;=$D$9,'Inputs'!$C$47+665,""))</x:f>
      </x:c>
      <x:c r="C735" s="37" t="str">
        <x:f>IF(B735="","",SUMIFS($D$14:$D$23,$C$14:$C$23,B735))</x:f>
      </x:c>
      <x:c r="D735" s="37" t="str">
        <x:f>IF(B735="","",SUMIFS($E$14:$E$23,$C$14:$C$23,B735))</x:f>
      </x:c>
      <x:c r="E735" s="37" t="str">
        <x:f>IF(B735="","",C735-D735)</x:f>
      </x:c>
      <x:c r="F735" s="37" t="str">
        <x:f>IF(B735="","",F734+E735)</x:f>
      </x:c>
      <x:c r="G735" s="37" t="str">
        <x:f>IF(OR(B735="",$I$6&lt;&gt;"Complete"),"",SUMIFS($D$32:$D$51,$C$32:$C$51,B735,$I$32:$I$51,"Ready"))</x:f>
      </x:c>
      <x:c r="H735" s="37" t="str">
        <x:f>IF(OR(B735="",$I$6&lt;&gt;"Complete"),"",SUMIFS($E$32:$E$51,$C$32:$C$51,B735,$I$32:$I$51,"Ready"))</x:f>
      </x:c>
      <x:c r="I735" s="37" t="str">
        <x:f>IF(OR(B735="",$I$6&lt;&gt;"Complete"),"",I734+E735+G735-H735)</x:f>
      </x:c>
      <x:c r="J735" s="37" t="str">
        <x:f>IF(OR(B735="",$I$6&lt;&gt;"Complete"),"",'Inputs'!$C$49)</x:f>
      </x:c>
      <x:c r="K735" s="37" t="str">
        <x:f>IF(OR(B735="",$I$6&lt;&gt;"Complete"),"",I735-J735)</x:f>
      </x:c>
      <x:c r="L735" s="61" t="str">
        <x:f>IF(OR(B735="",$I$6&lt;&gt;"Complete"),"",IF(K735&lt;0,1,0))</x:f>
      </x:c>
    </x:row>
    <x:row r="736" ht="23" customHeight="1">
      <x:c r="A736" s="2"/>
      <x:c r="B736" s="60" t="str">
        <x:f>IF($D$6&lt;&gt;"Complete","",IF('Inputs'!$C$47+666&lt;=$D$9,'Inputs'!$C$47+666,""))</x:f>
      </x:c>
      <x:c r="C736" s="37" t="str">
        <x:f>IF(B736="","",SUMIFS($D$14:$D$23,$C$14:$C$23,B736))</x:f>
      </x:c>
      <x:c r="D736" s="37" t="str">
        <x:f>IF(B736="","",SUMIFS($E$14:$E$23,$C$14:$C$23,B736))</x:f>
      </x:c>
      <x:c r="E736" s="37" t="str">
        <x:f>IF(B736="","",C736-D736)</x:f>
      </x:c>
      <x:c r="F736" s="37" t="str">
        <x:f>IF(B736="","",F735+E736)</x:f>
      </x:c>
      <x:c r="G736" s="37" t="str">
        <x:f>IF(OR(B736="",$I$6&lt;&gt;"Complete"),"",SUMIFS($D$32:$D$51,$C$32:$C$51,B736,$I$32:$I$51,"Ready"))</x:f>
      </x:c>
      <x:c r="H736" s="37" t="str">
        <x:f>IF(OR(B736="",$I$6&lt;&gt;"Complete"),"",SUMIFS($E$32:$E$51,$C$32:$C$51,B736,$I$32:$I$51,"Ready"))</x:f>
      </x:c>
      <x:c r="I736" s="37" t="str">
        <x:f>IF(OR(B736="",$I$6&lt;&gt;"Complete"),"",I735+E736+G736-H736)</x:f>
      </x:c>
      <x:c r="J736" s="37" t="str">
        <x:f>IF(OR(B736="",$I$6&lt;&gt;"Complete"),"",'Inputs'!$C$49)</x:f>
      </x:c>
      <x:c r="K736" s="37" t="str">
        <x:f>IF(OR(B736="",$I$6&lt;&gt;"Complete"),"",I736-J736)</x:f>
      </x:c>
      <x:c r="L736" s="61" t="str">
        <x:f>IF(OR(B736="",$I$6&lt;&gt;"Complete"),"",IF(K736&lt;0,1,0))</x:f>
      </x:c>
    </x:row>
    <x:row r="737" ht="23" customHeight="1">
      <x:c r="A737" s="2"/>
      <x:c r="B737" s="60" t="str">
        <x:f>IF($D$6&lt;&gt;"Complete","",IF('Inputs'!$C$47+667&lt;=$D$9,'Inputs'!$C$47+667,""))</x:f>
      </x:c>
      <x:c r="C737" s="37" t="str">
        <x:f>IF(B737="","",SUMIFS($D$14:$D$23,$C$14:$C$23,B737))</x:f>
      </x:c>
      <x:c r="D737" s="37" t="str">
        <x:f>IF(B737="","",SUMIFS($E$14:$E$23,$C$14:$C$23,B737))</x:f>
      </x:c>
      <x:c r="E737" s="37" t="str">
        <x:f>IF(B737="","",C737-D737)</x:f>
      </x:c>
      <x:c r="F737" s="37" t="str">
        <x:f>IF(B737="","",F736+E737)</x:f>
      </x:c>
      <x:c r="G737" s="37" t="str">
        <x:f>IF(OR(B737="",$I$6&lt;&gt;"Complete"),"",SUMIFS($D$32:$D$51,$C$32:$C$51,B737,$I$32:$I$51,"Ready"))</x:f>
      </x:c>
      <x:c r="H737" s="37" t="str">
        <x:f>IF(OR(B737="",$I$6&lt;&gt;"Complete"),"",SUMIFS($E$32:$E$51,$C$32:$C$51,B737,$I$32:$I$51,"Ready"))</x:f>
      </x:c>
      <x:c r="I737" s="37" t="str">
        <x:f>IF(OR(B737="",$I$6&lt;&gt;"Complete"),"",I736+E737+G737-H737)</x:f>
      </x:c>
      <x:c r="J737" s="37" t="str">
        <x:f>IF(OR(B737="",$I$6&lt;&gt;"Complete"),"",'Inputs'!$C$49)</x:f>
      </x:c>
      <x:c r="K737" s="37" t="str">
        <x:f>IF(OR(B737="",$I$6&lt;&gt;"Complete"),"",I737-J737)</x:f>
      </x:c>
      <x:c r="L737" s="61" t="str">
        <x:f>IF(OR(B737="",$I$6&lt;&gt;"Complete"),"",IF(K737&lt;0,1,0))</x:f>
      </x:c>
    </x:row>
    <x:row r="738" ht="23" customHeight="1">
      <x:c r="A738" s="2"/>
      <x:c r="B738" s="60" t="str">
        <x:f>IF($D$6&lt;&gt;"Complete","",IF('Inputs'!$C$47+668&lt;=$D$9,'Inputs'!$C$47+668,""))</x:f>
      </x:c>
      <x:c r="C738" s="37" t="str">
        <x:f>IF(B738="","",SUMIFS($D$14:$D$23,$C$14:$C$23,B738))</x:f>
      </x:c>
      <x:c r="D738" s="37" t="str">
        <x:f>IF(B738="","",SUMIFS($E$14:$E$23,$C$14:$C$23,B738))</x:f>
      </x:c>
      <x:c r="E738" s="37" t="str">
        <x:f>IF(B738="","",C738-D738)</x:f>
      </x:c>
      <x:c r="F738" s="37" t="str">
        <x:f>IF(B738="","",F737+E738)</x:f>
      </x:c>
      <x:c r="G738" s="37" t="str">
        <x:f>IF(OR(B738="",$I$6&lt;&gt;"Complete"),"",SUMIFS($D$32:$D$51,$C$32:$C$51,B738,$I$32:$I$51,"Ready"))</x:f>
      </x:c>
      <x:c r="H738" s="37" t="str">
        <x:f>IF(OR(B738="",$I$6&lt;&gt;"Complete"),"",SUMIFS($E$32:$E$51,$C$32:$C$51,B738,$I$32:$I$51,"Ready"))</x:f>
      </x:c>
      <x:c r="I738" s="37" t="str">
        <x:f>IF(OR(B738="",$I$6&lt;&gt;"Complete"),"",I737+E738+G738-H738)</x:f>
      </x:c>
      <x:c r="J738" s="37" t="str">
        <x:f>IF(OR(B738="",$I$6&lt;&gt;"Complete"),"",'Inputs'!$C$49)</x:f>
      </x:c>
      <x:c r="K738" s="37" t="str">
        <x:f>IF(OR(B738="",$I$6&lt;&gt;"Complete"),"",I738-J738)</x:f>
      </x:c>
      <x:c r="L738" s="61" t="str">
        <x:f>IF(OR(B738="",$I$6&lt;&gt;"Complete"),"",IF(K738&lt;0,1,0))</x:f>
      </x:c>
    </x:row>
    <x:row r="739" ht="23" customHeight="1">
      <x:c r="A739" s="2"/>
      <x:c r="B739" s="60" t="str">
        <x:f>IF($D$6&lt;&gt;"Complete","",IF('Inputs'!$C$47+669&lt;=$D$9,'Inputs'!$C$47+669,""))</x:f>
      </x:c>
      <x:c r="C739" s="37" t="str">
        <x:f>IF(B739="","",SUMIFS($D$14:$D$23,$C$14:$C$23,B739))</x:f>
      </x:c>
      <x:c r="D739" s="37" t="str">
        <x:f>IF(B739="","",SUMIFS($E$14:$E$23,$C$14:$C$23,B739))</x:f>
      </x:c>
      <x:c r="E739" s="37" t="str">
        <x:f>IF(B739="","",C739-D739)</x:f>
      </x:c>
      <x:c r="F739" s="37" t="str">
        <x:f>IF(B739="","",F738+E739)</x:f>
      </x:c>
      <x:c r="G739" s="37" t="str">
        <x:f>IF(OR(B739="",$I$6&lt;&gt;"Complete"),"",SUMIFS($D$32:$D$51,$C$32:$C$51,B739,$I$32:$I$51,"Ready"))</x:f>
      </x:c>
      <x:c r="H739" s="37" t="str">
        <x:f>IF(OR(B739="",$I$6&lt;&gt;"Complete"),"",SUMIFS($E$32:$E$51,$C$32:$C$51,B739,$I$32:$I$51,"Ready"))</x:f>
      </x:c>
      <x:c r="I739" s="37" t="str">
        <x:f>IF(OR(B739="",$I$6&lt;&gt;"Complete"),"",I738+E739+G739-H739)</x:f>
      </x:c>
      <x:c r="J739" s="37" t="str">
        <x:f>IF(OR(B739="",$I$6&lt;&gt;"Complete"),"",'Inputs'!$C$49)</x:f>
      </x:c>
      <x:c r="K739" s="37" t="str">
        <x:f>IF(OR(B739="",$I$6&lt;&gt;"Complete"),"",I739-J739)</x:f>
      </x:c>
      <x:c r="L739" s="61" t="str">
        <x:f>IF(OR(B739="",$I$6&lt;&gt;"Complete"),"",IF(K739&lt;0,1,0))</x:f>
      </x:c>
    </x:row>
    <x:row r="740" ht="23" customHeight="1">
      <x:c r="A740" s="2"/>
      <x:c r="B740" s="60" t="str">
        <x:f>IF($D$6&lt;&gt;"Complete","",IF('Inputs'!$C$47+670&lt;=$D$9,'Inputs'!$C$47+670,""))</x:f>
      </x:c>
      <x:c r="C740" s="37" t="str">
        <x:f>IF(B740="","",SUMIFS($D$14:$D$23,$C$14:$C$23,B740))</x:f>
      </x:c>
      <x:c r="D740" s="37" t="str">
        <x:f>IF(B740="","",SUMIFS($E$14:$E$23,$C$14:$C$23,B740))</x:f>
      </x:c>
      <x:c r="E740" s="37" t="str">
        <x:f>IF(B740="","",C740-D740)</x:f>
      </x:c>
      <x:c r="F740" s="37" t="str">
        <x:f>IF(B740="","",F739+E740)</x:f>
      </x:c>
      <x:c r="G740" s="37" t="str">
        <x:f>IF(OR(B740="",$I$6&lt;&gt;"Complete"),"",SUMIFS($D$32:$D$51,$C$32:$C$51,B740,$I$32:$I$51,"Ready"))</x:f>
      </x:c>
      <x:c r="H740" s="37" t="str">
        <x:f>IF(OR(B740="",$I$6&lt;&gt;"Complete"),"",SUMIFS($E$32:$E$51,$C$32:$C$51,B740,$I$32:$I$51,"Ready"))</x:f>
      </x:c>
      <x:c r="I740" s="37" t="str">
        <x:f>IF(OR(B740="",$I$6&lt;&gt;"Complete"),"",I739+E740+G740-H740)</x:f>
      </x:c>
      <x:c r="J740" s="37" t="str">
        <x:f>IF(OR(B740="",$I$6&lt;&gt;"Complete"),"",'Inputs'!$C$49)</x:f>
      </x:c>
      <x:c r="K740" s="37" t="str">
        <x:f>IF(OR(B740="",$I$6&lt;&gt;"Complete"),"",I740-J740)</x:f>
      </x:c>
      <x:c r="L740" s="61" t="str">
        <x:f>IF(OR(B740="",$I$6&lt;&gt;"Complete"),"",IF(K740&lt;0,1,0))</x:f>
      </x:c>
    </x:row>
    <x:row r="741" ht="23" customHeight="1">
      <x:c r="A741" s="2"/>
      <x:c r="B741" s="60" t="str">
        <x:f>IF($D$6&lt;&gt;"Complete","",IF('Inputs'!$C$47+671&lt;=$D$9,'Inputs'!$C$47+671,""))</x:f>
      </x:c>
      <x:c r="C741" s="37" t="str">
        <x:f>IF(B741="","",SUMIFS($D$14:$D$23,$C$14:$C$23,B741))</x:f>
      </x:c>
      <x:c r="D741" s="37" t="str">
        <x:f>IF(B741="","",SUMIFS($E$14:$E$23,$C$14:$C$23,B741))</x:f>
      </x:c>
      <x:c r="E741" s="37" t="str">
        <x:f>IF(B741="","",C741-D741)</x:f>
      </x:c>
      <x:c r="F741" s="37" t="str">
        <x:f>IF(B741="","",F740+E741)</x:f>
      </x:c>
      <x:c r="G741" s="37" t="str">
        <x:f>IF(OR(B741="",$I$6&lt;&gt;"Complete"),"",SUMIFS($D$32:$D$51,$C$32:$C$51,B741,$I$32:$I$51,"Ready"))</x:f>
      </x:c>
      <x:c r="H741" s="37" t="str">
        <x:f>IF(OR(B741="",$I$6&lt;&gt;"Complete"),"",SUMIFS($E$32:$E$51,$C$32:$C$51,B741,$I$32:$I$51,"Ready"))</x:f>
      </x:c>
      <x:c r="I741" s="37" t="str">
        <x:f>IF(OR(B741="",$I$6&lt;&gt;"Complete"),"",I740+E741+G741-H741)</x:f>
      </x:c>
      <x:c r="J741" s="37" t="str">
        <x:f>IF(OR(B741="",$I$6&lt;&gt;"Complete"),"",'Inputs'!$C$49)</x:f>
      </x:c>
      <x:c r="K741" s="37" t="str">
        <x:f>IF(OR(B741="",$I$6&lt;&gt;"Complete"),"",I741-J741)</x:f>
      </x:c>
      <x:c r="L741" s="61" t="str">
        <x:f>IF(OR(B741="",$I$6&lt;&gt;"Complete"),"",IF(K741&lt;0,1,0))</x:f>
      </x:c>
    </x:row>
    <x:row r="742" ht="23" customHeight="1">
      <x:c r="A742" s="2"/>
      <x:c r="B742" s="60" t="str">
        <x:f>IF($D$6&lt;&gt;"Complete","",IF('Inputs'!$C$47+672&lt;=$D$9,'Inputs'!$C$47+672,""))</x:f>
      </x:c>
      <x:c r="C742" s="37" t="str">
        <x:f>IF(B742="","",SUMIFS($D$14:$D$23,$C$14:$C$23,B742))</x:f>
      </x:c>
      <x:c r="D742" s="37" t="str">
        <x:f>IF(B742="","",SUMIFS($E$14:$E$23,$C$14:$C$23,B742))</x:f>
      </x:c>
      <x:c r="E742" s="37" t="str">
        <x:f>IF(B742="","",C742-D742)</x:f>
      </x:c>
      <x:c r="F742" s="37" t="str">
        <x:f>IF(B742="","",F741+E742)</x:f>
      </x:c>
      <x:c r="G742" s="37" t="str">
        <x:f>IF(OR(B742="",$I$6&lt;&gt;"Complete"),"",SUMIFS($D$32:$D$51,$C$32:$C$51,B742,$I$32:$I$51,"Ready"))</x:f>
      </x:c>
      <x:c r="H742" s="37" t="str">
        <x:f>IF(OR(B742="",$I$6&lt;&gt;"Complete"),"",SUMIFS($E$32:$E$51,$C$32:$C$51,B742,$I$32:$I$51,"Ready"))</x:f>
      </x:c>
      <x:c r="I742" s="37" t="str">
        <x:f>IF(OR(B742="",$I$6&lt;&gt;"Complete"),"",I741+E742+G742-H742)</x:f>
      </x:c>
      <x:c r="J742" s="37" t="str">
        <x:f>IF(OR(B742="",$I$6&lt;&gt;"Complete"),"",'Inputs'!$C$49)</x:f>
      </x:c>
      <x:c r="K742" s="37" t="str">
        <x:f>IF(OR(B742="",$I$6&lt;&gt;"Complete"),"",I742-J742)</x:f>
      </x:c>
      <x:c r="L742" s="61" t="str">
        <x:f>IF(OR(B742="",$I$6&lt;&gt;"Complete"),"",IF(K742&lt;0,1,0))</x:f>
      </x:c>
    </x:row>
    <x:row r="743" ht="23" customHeight="1">
      <x:c r="A743" s="2"/>
      <x:c r="B743" s="60" t="str">
        <x:f>IF($D$6&lt;&gt;"Complete","",IF('Inputs'!$C$47+673&lt;=$D$9,'Inputs'!$C$47+673,""))</x:f>
      </x:c>
      <x:c r="C743" s="37" t="str">
        <x:f>IF(B743="","",SUMIFS($D$14:$D$23,$C$14:$C$23,B743))</x:f>
      </x:c>
      <x:c r="D743" s="37" t="str">
        <x:f>IF(B743="","",SUMIFS($E$14:$E$23,$C$14:$C$23,B743))</x:f>
      </x:c>
      <x:c r="E743" s="37" t="str">
        <x:f>IF(B743="","",C743-D743)</x:f>
      </x:c>
      <x:c r="F743" s="37" t="str">
        <x:f>IF(B743="","",F742+E743)</x:f>
      </x:c>
      <x:c r="G743" s="37" t="str">
        <x:f>IF(OR(B743="",$I$6&lt;&gt;"Complete"),"",SUMIFS($D$32:$D$51,$C$32:$C$51,B743,$I$32:$I$51,"Ready"))</x:f>
      </x:c>
      <x:c r="H743" s="37" t="str">
        <x:f>IF(OR(B743="",$I$6&lt;&gt;"Complete"),"",SUMIFS($E$32:$E$51,$C$32:$C$51,B743,$I$32:$I$51,"Ready"))</x:f>
      </x:c>
      <x:c r="I743" s="37" t="str">
        <x:f>IF(OR(B743="",$I$6&lt;&gt;"Complete"),"",I742+E743+G743-H743)</x:f>
      </x:c>
      <x:c r="J743" s="37" t="str">
        <x:f>IF(OR(B743="",$I$6&lt;&gt;"Complete"),"",'Inputs'!$C$49)</x:f>
      </x:c>
      <x:c r="K743" s="37" t="str">
        <x:f>IF(OR(B743="",$I$6&lt;&gt;"Complete"),"",I743-J743)</x:f>
      </x:c>
      <x:c r="L743" s="61" t="str">
        <x:f>IF(OR(B743="",$I$6&lt;&gt;"Complete"),"",IF(K743&lt;0,1,0))</x:f>
      </x:c>
    </x:row>
    <x:row r="744" ht="23" customHeight="1">
      <x:c r="A744" s="2"/>
      <x:c r="B744" s="60" t="str">
        <x:f>IF($D$6&lt;&gt;"Complete","",IF('Inputs'!$C$47+674&lt;=$D$9,'Inputs'!$C$47+674,""))</x:f>
      </x:c>
      <x:c r="C744" s="37" t="str">
        <x:f>IF(B744="","",SUMIFS($D$14:$D$23,$C$14:$C$23,B744))</x:f>
      </x:c>
      <x:c r="D744" s="37" t="str">
        <x:f>IF(B744="","",SUMIFS($E$14:$E$23,$C$14:$C$23,B744))</x:f>
      </x:c>
      <x:c r="E744" s="37" t="str">
        <x:f>IF(B744="","",C744-D744)</x:f>
      </x:c>
      <x:c r="F744" s="37" t="str">
        <x:f>IF(B744="","",F743+E744)</x:f>
      </x:c>
      <x:c r="G744" s="37" t="str">
        <x:f>IF(OR(B744="",$I$6&lt;&gt;"Complete"),"",SUMIFS($D$32:$D$51,$C$32:$C$51,B744,$I$32:$I$51,"Ready"))</x:f>
      </x:c>
      <x:c r="H744" s="37" t="str">
        <x:f>IF(OR(B744="",$I$6&lt;&gt;"Complete"),"",SUMIFS($E$32:$E$51,$C$32:$C$51,B744,$I$32:$I$51,"Ready"))</x:f>
      </x:c>
      <x:c r="I744" s="37" t="str">
        <x:f>IF(OR(B744="",$I$6&lt;&gt;"Complete"),"",I743+E744+G744-H744)</x:f>
      </x:c>
      <x:c r="J744" s="37" t="str">
        <x:f>IF(OR(B744="",$I$6&lt;&gt;"Complete"),"",'Inputs'!$C$49)</x:f>
      </x:c>
      <x:c r="K744" s="37" t="str">
        <x:f>IF(OR(B744="",$I$6&lt;&gt;"Complete"),"",I744-J744)</x:f>
      </x:c>
      <x:c r="L744" s="61" t="str">
        <x:f>IF(OR(B744="",$I$6&lt;&gt;"Complete"),"",IF(K744&lt;0,1,0))</x:f>
      </x:c>
    </x:row>
    <x:row r="745" ht="23" customHeight="1">
      <x:c r="A745" s="2"/>
      <x:c r="B745" s="60" t="str">
        <x:f>IF($D$6&lt;&gt;"Complete","",IF('Inputs'!$C$47+675&lt;=$D$9,'Inputs'!$C$47+675,""))</x:f>
      </x:c>
      <x:c r="C745" s="37" t="str">
        <x:f>IF(B745="","",SUMIFS($D$14:$D$23,$C$14:$C$23,B745))</x:f>
      </x:c>
      <x:c r="D745" s="37" t="str">
        <x:f>IF(B745="","",SUMIFS($E$14:$E$23,$C$14:$C$23,B745))</x:f>
      </x:c>
      <x:c r="E745" s="37" t="str">
        <x:f>IF(B745="","",C745-D745)</x:f>
      </x:c>
      <x:c r="F745" s="37" t="str">
        <x:f>IF(B745="","",F744+E745)</x:f>
      </x:c>
      <x:c r="G745" s="37" t="str">
        <x:f>IF(OR(B745="",$I$6&lt;&gt;"Complete"),"",SUMIFS($D$32:$D$51,$C$32:$C$51,B745,$I$32:$I$51,"Ready"))</x:f>
      </x:c>
      <x:c r="H745" s="37" t="str">
        <x:f>IF(OR(B745="",$I$6&lt;&gt;"Complete"),"",SUMIFS($E$32:$E$51,$C$32:$C$51,B745,$I$32:$I$51,"Ready"))</x:f>
      </x:c>
      <x:c r="I745" s="37" t="str">
        <x:f>IF(OR(B745="",$I$6&lt;&gt;"Complete"),"",I744+E745+G745-H745)</x:f>
      </x:c>
      <x:c r="J745" s="37" t="str">
        <x:f>IF(OR(B745="",$I$6&lt;&gt;"Complete"),"",'Inputs'!$C$49)</x:f>
      </x:c>
      <x:c r="K745" s="37" t="str">
        <x:f>IF(OR(B745="",$I$6&lt;&gt;"Complete"),"",I745-J745)</x:f>
      </x:c>
      <x:c r="L745" s="61" t="str">
        <x:f>IF(OR(B745="",$I$6&lt;&gt;"Complete"),"",IF(K745&lt;0,1,0))</x:f>
      </x:c>
    </x:row>
    <x:row r="746" ht="23" customHeight="1">
      <x:c r="A746" s="2"/>
      <x:c r="B746" s="60" t="str">
        <x:f>IF($D$6&lt;&gt;"Complete","",IF('Inputs'!$C$47+676&lt;=$D$9,'Inputs'!$C$47+676,""))</x:f>
      </x:c>
      <x:c r="C746" s="37" t="str">
        <x:f>IF(B746="","",SUMIFS($D$14:$D$23,$C$14:$C$23,B746))</x:f>
      </x:c>
      <x:c r="D746" s="37" t="str">
        <x:f>IF(B746="","",SUMIFS($E$14:$E$23,$C$14:$C$23,B746))</x:f>
      </x:c>
      <x:c r="E746" s="37" t="str">
        <x:f>IF(B746="","",C746-D746)</x:f>
      </x:c>
      <x:c r="F746" s="37" t="str">
        <x:f>IF(B746="","",F745+E746)</x:f>
      </x:c>
      <x:c r="G746" s="37" t="str">
        <x:f>IF(OR(B746="",$I$6&lt;&gt;"Complete"),"",SUMIFS($D$32:$D$51,$C$32:$C$51,B746,$I$32:$I$51,"Ready"))</x:f>
      </x:c>
      <x:c r="H746" s="37" t="str">
        <x:f>IF(OR(B746="",$I$6&lt;&gt;"Complete"),"",SUMIFS($E$32:$E$51,$C$32:$C$51,B746,$I$32:$I$51,"Ready"))</x:f>
      </x:c>
      <x:c r="I746" s="37" t="str">
        <x:f>IF(OR(B746="",$I$6&lt;&gt;"Complete"),"",I745+E746+G746-H746)</x:f>
      </x:c>
      <x:c r="J746" s="37" t="str">
        <x:f>IF(OR(B746="",$I$6&lt;&gt;"Complete"),"",'Inputs'!$C$49)</x:f>
      </x:c>
      <x:c r="K746" s="37" t="str">
        <x:f>IF(OR(B746="",$I$6&lt;&gt;"Complete"),"",I746-J746)</x:f>
      </x:c>
      <x:c r="L746" s="61" t="str">
        <x:f>IF(OR(B746="",$I$6&lt;&gt;"Complete"),"",IF(K746&lt;0,1,0))</x:f>
      </x:c>
    </x:row>
    <x:row r="747" ht="23" customHeight="1">
      <x:c r="A747" s="2"/>
      <x:c r="B747" s="60" t="str">
        <x:f>IF($D$6&lt;&gt;"Complete","",IF('Inputs'!$C$47+677&lt;=$D$9,'Inputs'!$C$47+677,""))</x:f>
      </x:c>
      <x:c r="C747" s="37" t="str">
        <x:f>IF(B747="","",SUMIFS($D$14:$D$23,$C$14:$C$23,B747))</x:f>
      </x:c>
      <x:c r="D747" s="37" t="str">
        <x:f>IF(B747="","",SUMIFS($E$14:$E$23,$C$14:$C$23,B747))</x:f>
      </x:c>
      <x:c r="E747" s="37" t="str">
        <x:f>IF(B747="","",C747-D747)</x:f>
      </x:c>
      <x:c r="F747" s="37" t="str">
        <x:f>IF(B747="","",F746+E747)</x:f>
      </x:c>
      <x:c r="G747" s="37" t="str">
        <x:f>IF(OR(B747="",$I$6&lt;&gt;"Complete"),"",SUMIFS($D$32:$D$51,$C$32:$C$51,B747,$I$32:$I$51,"Ready"))</x:f>
      </x:c>
      <x:c r="H747" s="37" t="str">
        <x:f>IF(OR(B747="",$I$6&lt;&gt;"Complete"),"",SUMIFS($E$32:$E$51,$C$32:$C$51,B747,$I$32:$I$51,"Ready"))</x:f>
      </x:c>
      <x:c r="I747" s="37" t="str">
        <x:f>IF(OR(B747="",$I$6&lt;&gt;"Complete"),"",I746+E747+G747-H747)</x:f>
      </x:c>
      <x:c r="J747" s="37" t="str">
        <x:f>IF(OR(B747="",$I$6&lt;&gt;"Complete"),"",'Inputs'!$C$49)</x:f>
      </x:c>
      <x:c r="K747" s="37" t="str">
        <x:f>IF(OR(B747="",$I$6&lt;&gt;"Complete"),"",I747-J747)</x:f>
      </x:c>
      <x:c r="L747" s="61" t="str">
        <x:f>IF(OR(B747="",$I$6&lt;&gt;"Complete"),"",IF(K747&lt;0,1,0))</x:f>
      </x:c>
    </x:row>
    <x:row r="748" ht="23" customHeight="1">
      <x:c r="A748" s="2"/>
      <x:c r="B748" s="60" t="str">
        <x:f>IF($D$6&lt;&gt;"Complete","",IF('Inputs'!$C$47+678&lt;=$D$9,'Inputs'!$C$47+678,""))</x:f>
      </x:c>
      <x:c r="C748" s="37" t="str">
        <x:f>IF(B748="","",SUMIFS($D$14:$D$23,$C$14:$C$23,B748))</x:f>
      </x:c>
      <x:c r="D748" s="37" t="str">
        <x:f>IF(B748="","",SUMIFS($E$14:$E$23,$C$14:$C$23,B748))</x:f>
      </x:c>
      <x:c r="E748" s="37" t="str">
        <x:f>IF(B748="","",C748-D748)</x:f>
      </x:c>
      <x:c r="F748" s="37" t="str">
        <x:f>IF(B748="","",F747+E748)</x:f>
      </x:c>
      <x:c r="G748" s="37" t="str">
        <x:f>IF(OR(B748="",$I$6&lt;&gt;"Complete"),"",SUMIFS($D$32:$D$51,$C$32:$C$51,B748,$I$32:$I$51,"Ready"))</x:f>
      </x:c>
      <x:c r="H748" s="37" t="str">
        <x:f>IF(OR(B748="",$I$6&lt;&gt;"Complete"),"",SUMIFS($E$32:$E$51,$C$32:$C$51,B748,$I$32:$I$51,"Ready"))</x:f>
      </x:c>
      <x:c r="I748" s="37" t="str">
        <x:f>IF(OR(B748="",$I$6&lt;&gt;"Complete"),"",I747+E748+G748-H748)</x:f>
      </x:c>
      <x:c r="J748" s="37" t="str">
        <x:f>IF(OR(B748="",$I$6&lt;&gt;"Complete"),"",'Inputs'!$C$49)</x:f>
      </x:c>
      <x:c r="K748" s="37" t="str">
        <x:f>IF(OR(B748="",$I$6&lt;&gt;"Complete"),"",I748-J748)</x:f>
      </x:c>
      <x:c r="L748" s="61" t="str">
        <x:f>IF(OR(B748="",$I$6&lt;&gt;"Complete"),"",IF(K748&lt;0,1,0))</x:f>
      </x:c>
    </x:row>
    <x:row r="749" ht="23" customHeight="1">
      <x:c r="A749" s="2"/>
      <x:c r="B749" s="60" t="str">
        <x:f>IF($D$6&lt;&gt;"Complete","",IF('Inputs'!$C$47+679&lt;=$D$9,'Inputs'!$C$47+679,""))</x:f>
      </x:c>
      <x:c r="C749" s="37" t="str">
        <x:f>IF(B749="","",SUMIFS($D$14:$D$23,$C$14:$C$23,B749))</x:f>
      </x:c>
      <x:c r="D749" s="37" t="str">
        <x:f>IF(B749="","",SUMIFS($E$14:$E$23,$C$14:$C$23,B749))</x:f>
      </x:c>
      <x:c r="E749" s="37" t="str">
        <x:f>IF(B749="","",C749-D749)</x:f>
      </x:c>
      <x:c r="F749" s="37" t="str">
        <x:f>IF(B749="","",F748+E749)</x:f>
      </x:c>
      <x:c r="G749" s="37" t="str">
        <x:f>IF(OR(B749="",$I$6&lt;&gt;"Complete"),"",SUMIFS($D$32:$D$51,$C$32:$C$51,B749,$I$32:$I$51,"Ready"))</x:f>
      </x:c>
      <x:c r="H749" s="37" t="str">
        <x:f>IF(OR(B749="",$I$6&lt;&gt;"Complete"),"",SUMIFS($E$32:$E$51,$C$32:$C$51,B749,$I$32:$I$51,"Ready"))</x:f>
      </x:c>
      <x:c r="I749" s="37" t="str">
        <x:f>IF(OR(B749="",$I$6&lt;&gt;"Complete"),"",I748+E749+G749-H749)</x:f>
      </x:c>
      <x:c r="J749" s="37" t="str">
        <x:f>IF(OR(B749="",$I$6&lt;&gt;"Complete"),"",'Inputs'!$C$49)</x:f>
      </x:c>
      <x:c r="K749" s="37" t="str">
        <x:f>IF(OR(B749="",$I$6&lt;&gt;"Complete"),"",I749-J749)</x:f>
      </x:c>
      <x:c r="L749" s="61" t="str">
        <x:f>IF(OR(B749="",$I$6&lt;&gt;"Complete"),"",IF(K749&lt;0,1,0))</x:f>
      </x:c>
    </x:row>
    <x:row r="750" ht="23" customHeight="1">
      <x:c r="A750" s="2"/>
      <x:c r="B750" s="60" t="str">
        <x:f>IF($D$6&lt;&gt;"Complete","",IF('Inputs'!$C$47+680&lt;=$D$9,'Inputs'!$C$47+680,""))</x:f>
      </x:c>
      <x:c r="C750" s="37" t="str">
        <x:f>IF(B750="","",SUMIFS($D$14:$D$23,$C$14:$C$23,B750))</x:f>
      </x:c>
      <x:c r="D750" s="37" t="str">
        <x:f>IF(B750="","",SUMIFS($E$14:$E$23,$C$14:$C$23,B750))</x:f>
      </x:c>
      <x:c r="E750" s="37" t="str">
        <x:f>IF(B750="","",C750-D750)</x:f>
      </x:c>
      <x:c r="F750" s="37" t="str">
        <x:f>IF(B750="","",F749+E750)</x:f>
      </x:c>
      <x:c r="G750" s="37" t="str">
        <x:f>IF(OR(B750="",$I$6&lt;&gt;"Complete"),"",SUMIFS($D$32:$D$51,$C$32:$C$51,B750,$I$32:$I$51,"Ready"))</x:f>
      </x:c>
      <x:c r="H750" s="37" t="str">
        <x:f>IF(OR(B750="",$I$6&lt;&gt;"Complete"),"",SUMIFS($E$32:$E$51,$C$32:$C$51,B750,$I$32:$I$51,"Ready"))</x:f>
      </x:c>
      <x:c r="I750" s="37" t="str">
        <x:f>IF(OR(B750="",$I$6&lt;&gt;"Complete"),"",I749+E750+G750-H750)</x:f>
      </x:c>
      <x:c r="J750" s="37" t="str">
        <x:f>IF(OR(B750="",$I$6&lt;&gt;"Complete"),"",'Inputs'!$C$49)</x:f>
      </x:c>
      <x:c r="K750" s="37" t="str">
        <x:f>IF(OR(B750="",$I$6&lt;&gt;"Complete"),"",I750-J750)</x:f>
      </x:c>
      <x:c r="L750" s="61" t="str">
        <x:f>IF(OR(B750="",$I$6&lt;&gt;"Complete"),"",IF(K750&lt;0,1,0))</x:f>
      </x:c>
    </x:row>
    <x:row r="751" ht="23" customHeight="1">
      <x:c r="A751" s="2"/>
      <x:c r="B751" s="60" t="str">
        <x:f>IF($D$6&lt;&gt;"Complete","",IF('Inputs'!$C$47+681&lt;=$D$9,'Inputs'!$C$47+681,""))</x:f>
      </x:c>
      <x:c r="C751" s="37" t="str">
        <x:f>IF(B751="","",SUMIFS($D$14:$D$23,$C$14:$C$23,B751))</x:f>
      </x:c>
      <x:c r="D751" s="37" t="str">
        <x:f>IF(B751="","",SUMIFS($E$14:$E$23,$C$14:$C$23,B751))</x:f>
      </x:c>
      <x:c r="E751" s="37" t="str">
        <x:f>IF(B751="","",C751-D751)</x:f>
      </x:c>
      <x:c r="F751" s="37" t="str">
        <x:f>IF(B751="","",F750+E751)</x:f>
      </x:c>
      <x:c r="G751" s="37" t="str">
        <x:f>IF(OR(B751="",$I$6&lt;&gt;"Complete"),"",SUMIFS($D$32:$D$51,$C$32:$C$51,B751,$I$32:$I$51,"Ready"))</x:f>
      </x:c>
      <x:c r="H751" s="37" t="str">
        <x:f>IF(OR(B751="",$I$6&lt;&gt;"Complete"),"",SUMIFS($E$32:$E$51,$C$32:$C$51,B751,$I$32:$I$51,"Ready"))</x:f>
      </x:c>
      <x:c r="I751" s="37" t="str">
        <x:f>IF(OR(B751="",$I$6&lt;&gt;"Complete"),"",I750+E751+G751-H751)</x:f>
      </x:c>
      <x:c r="J751" s="37" t="str">
        <x:f>IF(OR(B751="",$I$6&lt;&gt;"Complete"),"",'Inputs'!$C$49)</x:f>
      </x:c>
      <x:c r="K751" s="37" t="str">
        <x:f>IF(OR(B751="",$I$6&lt;&gt;"Complete"),"",I751-J751)</x:f>
      </x:c>
      <x:c r="L751" s="61" t="str">
        <x:f>IF(OR(B751="",$I$6&lt;&gt;"Complete"),"",IF(K751&lt;0,1,0))</x:f>
      </x:c>
    </x:row>
    <x:row r="752" ht="23" customHeight="1">
      <x:c r="A752" s="2"/>
      <x:c r="B752" s="60" t="str">
        <x:f>IF($D$6&lt;&gt;"Complete","",IF('Inputs'!$C$47+682&lt;=$D$9,'Inputs'!$C$47+682,""))</x:f>
      </x:c>
      <x:c r="C752" s="37" t="str">
        <x:f>IF(B752="","",SUMIFS($D$14:$D$23,$C$14:$C$23,B752))</x:f>
      </x:c>
      <x:c r="D752" s="37" t="str">
        <x:f>IF(B752="","",SUMIFS($E$14:$E$23,$C$14:$C$23,B752))</x:f>
      </x:c>
      <x:c r="E752" s="37" t="str">
        <x:f>IF(B752="","",C752-D752)</x:f>
      </x:c>
      <x:c r="F752" s="37" t="str">
        <x:f>IF(B752="","",F751+E752)</x:f>
      </x:c>
      <x:c r="G752" s="37" t="str">
        <x:f>IF(OR(B752="",$I$6&lt;&gt;"Complete"),"",SUMIFS($D$32:$D$51,$C$32:$C$51,B752,$I$32:$I$51,"Ready"))</x:f>
      </x:c>
      <x:c r="H752" s="37" t="str">
        <x:f>IF(OR(B752="",$I$6&lt;&gt;"Complete"),"",SUMIFS($E$32:$E$51,$C$32:$C$51,B752,$I$32:$I$51,"Ready"))</x:f>
      </x:c>
      <x:c r="I752" s="37" t="str">
        <x:f>IF(OR(B752="",$I$6&lt;&gt;"Complete"),"",I751+E752+G752-H752)</x:f>
      </x:c>
      <x:c r="J752" s="37" t="str">
        <x:f>IF(OR(B752="",$I$6&lt;&gt;"Complete"),"",'Inputs'!$C$49)</x:f>
      </x:c>
      <x:c r="K752" s="37" t="str">
        <x:f>IF(OR(B752="",$I$6&lt;&gt;"Complete"),"",I752-J752)</x:f>
      </x:c>
      <x:c r="L752" s="61" t="str">
        <x:f>IF(OR(B752="",$I$6&lt;&gt;"Complete"),"",IF(K752&lt;0,1,0))</x:f>
      </x:c>
    </x:row>
    <x:row r="753" ht="23" customHeight="1">
      <x:c r="A753" s="2"/>
      <x:c r="B753" s="60" t="str">
        <x:f>IF($D$6&lt;&gt;"Complete","",IF('Inputs'!$C$47+683&lt;=$D$9,'Inputs'!$C$47+683,""))</x:f>
      </x:c>
      <x:c r="C753" s="37" t="str">
        <x:f>IF(B753="","",SUMIFS($D$14:$D$23,$C$14:$C$23,B753))</x:f>
      </x:c>
      <x:c r="D753" s="37" t="str">
        <x:f>IF(B753="","",SUMIFS($E$14:$E$23,$C$14:$C$23,B753))</x:f>
      </x:c>
      <x:c r="E753" s="37" t="str">
        <x:f>IF(B753="","",C753-D753)</x:f>
      </x:c>
      <x:c r="F753" s="37" t="str">
        <x:f>IF(B753="","",F752+E753)</x:f>
      </x:c>
      <x:c r="G753" s="37" t="str">
        <x:f>IF(OR(B753="",$I$6&lt;&gt;"Complete"),"",SUMIFS($D$32:$D$51,$C$32:$C$51,B753,$I$32:$I$51,"Ready"))</x:f>
      </x:c>
      <x:c r="H753" s="37" t="str">
        <x:f>IF(OR(B753="",$I$6&lt;&gt;"Complete"),"",SUMIFS($E$32:$E$51,$C$32:$C$51,B753,$I$32:$I$51,"Ready"))</x:f>
      </x:c>
      <x:c r="I753" s="37" t="str">
        <x:f>IF(OR(B753="",$I$6&lt;&gt;"Complete"),"",I752+E753+G753-H753)</x:f>
      </x:c>
      <x:c r="J753" s="37" t="str">
        <x:f>IF(OR(B753="",$I$6&lt;&gt;"Complete"),"",'Inputs'!$C$49)</x:f>
      </x:c>
      <x:c r="K753" s="37" t="str">
        <x:f>IF(OR(B753="",$I$6&lt;&gt;"Complete"),"",I753-J753)</x:f>
      </x:c>
      <x:c r="L753" s="61" t="str">
        <x:f>IF(OR(B753="",$I$6&lt;&gt;"Complete"),"",IF(K753&lt;0,1,0))</x:f>
      </x:c>
    </x:row>
    <x:row r="754" ht="23" customHeight="1">
      <x:c r="A754" s="2"/>
      <x:c r="B754" s="60" t="str">
        <x:f>IF($D$6&lt;&gt;"Complete","",IF('Inputs'!$C$47+684&lt;=$D$9,'Inputs'!$C$47+684,""))</x:f>
      </x:c>
      <x:c r="C754" s="37" t="str">
        <x:f>IF(B754="","",SUMIFS($D$14:$D$23,$C$14:$C$23,B754))</x:f>
      </x:c>
      <x:c r="D754" s="37" t="str">
        <x:f>IF(B754="","",SUMIFS($E$14:$E$23,$C$14:$C$23,B754))</x:f>
      </x:c>
      <x:c r="E754" s="37" t="str">
        <x:f>IF(B754="","",C754-D754)</x:f>
      </x:c>
      <x:c r="F754" s="37" t="str">
        <x:f>IF(B754="","",F753+E754)</x:f>
      </x:c>
      <x:c r="G754" s="37" t="str">
        <x:f>IF(OR(B754="",$I$6&lt;&gt;"Complete"),"",SUMIFS($D$32:$D$51,$C$32:$C$51,B754,$I$32:$I$51,"Ready"))</x:f>
      </x:c>
      <x:c r="H754" s="37" t="str">
        <x:f>IF(OR(B754="",$I$6&lt;&gt;"Complete"),"",SUMIFS($E$32:$E$51,$C$32:$C$51,B754,$I$32:$I$51,"Ready"))</x:f>
      </x:c>
      <x:c r="I754" s="37" t="str">
        <x:f>IF(OR(B754="",$I$6&lt;&gt;"Complete"),"",I753+E754+G754-H754)</x:f>
      </x:c>
      <x:c r="J754" s="37" t="str">
        <x:f>IF(OR(B754="",$I$6&lt;&gt;"Complete"),"",'Inputs'!$C$49)</x:f>
      </x:c>
      <x:c r="K754" s="37" t="str">
        <x:f>IF(OR(B754="",$I$6&lt;&gt;"Complete"),"",I754-J754)</x:f>
      </x:c>
      <x:c r="L754" s="61" t="str">
        <x:f>IF(OR(B754="",$I$6&lt;&gt;"Complete"),"",IF(K754&lt;0,1,0))</x:f>
      </x:c>
    </x:row>
    <x:row r="755" ht="23" customHeight="1">
      <x:c r="A755" s="2"/>
      <x:c r="B755" s="60" t="str">
        <x:f>IF($D$6&lt;&gt;"Complete","",IF('Inputs'!$C$47+685&lt;=$D$9,'Inputs'!$C$47+685,""))</x:f>
      </x:c>
      <x:c r="C755" s="37" t="str">
        <x:f>IF(B755="","",SUMIFS($D$14:$D$23,$C$14:$C$23,B755))</x:f>
      </x:c>
      <x:c r="D755" s="37" t="str">
        <x:f>IF(B755="","",SUMIFS($E$14:$E$23,$C$14:$C$23,B755))</x:f>
      </x:c>
      <x:c r="E755" s="37" t="str">
        <x:f>IF(B755="","",C755-D755)</x:f>
      </x:c>
      <x:c r="F755" s="37" t="str">
        <x:f>IF(B755="","",F754+E755)</x:f>
      </x:c>
      <x:c r="G755" s="37" t="str">
        <x:f>IF(OR(B755="",$I$6&lt;&gt;"Complete"),"",SUMIFS($D$32:$D$51,$C$32:$C$51,B755,$I$32:$I$51,"Ready"))</x:f>
      </x:c>
      <x:c r="H755" s="37" t="str">
        <x:f>IF(OR(B755="",$I$6&lt;&gt;"Complete"),"",SUMIFS($E$32:$E$51,$C$32:$C$51,B755,$I$32:$I$51,"Ready"))</x:f>
      </x:c>
      <x:c r="I755" s="37" t="str">
        <x:f>IF(OR(B755="",$I$6&lt;&gt;"Complete"),"",I754+E755+G755-H755)</x:f>
      </x:c>
      <x:c r="J755" s="37" t="str">
        <x:f>IF(OR(B755="",$I$6&lt;&gt;"Complete"),"",'Inputs'!$C$49)</x:f>
      </x:c>
      <x:c r="K755" s="37" t="str">
        <x:f>IF(OR(B755="",$I$6&lt;&gt;"Complete"),"",I755-J755)</x:f>
      </x:c>
      <x:c r="L755" s="61" t="str">
        <x:f>IF(OR(B755="",$I$6&lt;&gt;"Complete"),"",IF(K755&lt;0,1,0))</x:f>
      </x:c>
    </x:row>
    <x:row r="756" ht="23" customHeight="1">
      <x:c r="A756" s="2"/>
      <x:c r="B756" s="60" t="str">
        <x:f>IF($D$6&lt;&gt;"Complete","",IF('Inputs'!$C$47+686&lt;=$D$9,'Inputs'!$C$47+686,""))</x:f>
      </x:c>
      <x:c r="C756" s="37" t="str">
        <x:f>IF(B756="","",SUMIFS($D$14:$D$23,$C$14:$C$23,B756))</x:f>
      </x:c>
      <x:c r="D756" s="37" t="str">
        <x:f>IF(B756="","",SUMIFS($E$14:$E$23,$C$14:$C$23,B756))</x:f>
      </x:c>
      <x:c r="E756" s="37" t="str">
        <x:f>IF(B756="","",C756-D756)</x:f>
      </x:c>
      <x:c r="F756" s="37" t="str">
        <x:f>IF(B756="","",F755+E756)</x:f>
      </x:c>
      <x:c r="G756" s="37" t="str">
        <x:f>IF(OR(B756="",$I$6&lt;&gt;"Complete"),"",SUMIFS($D$32:$D$51,$C$32:$C$51,B756,$I$32:$I$51,"Ready"))</x:f>
      </x:c>
      <x:c r="H756" s="37" t="str">
        <x:f>IF(OR(B756="",$I$6&lt;&gt;"Complete"),"",SUMIFS($E$32:$E$51,$C$32:$C$51,B756,$I$32:$I$51,"Ready"))</x:f>
      </x:c>
      <x:c r="I756" s="37" t="str">
        <x:f>IF(OR(B756="",$I$6&lt;&gt;"Complete"),"",I755+E756+G756-H756)</x:f>
      </x:c>
      <x:c r="J756" s="37" t="str">
        <x:f>IF(OR(B756="",$I$6&lt;&gt;"Complete"),"",'Inputs'!$C$49)</x:f>
      </x:c>
      <x:c r="K756" s="37" t="str">
        <x:f>IF(OR(B756="",$I$6&lt;&gt;"Complete"),"",I756-J756)</x:f>
      </x:c>
      <x:c r="L756" s="61" t="str">
        <x:f>IF(OR(B756="",$I$6&lt;&gt;"Complete"),"",IF(K756&lt;0,1,0))</x:f>
      </x:c>
    </x:row>
    <x:row r="757" ht="23" customHeight="1">
      <x:c r="A757" s="2"/>
      <x:c r="B757" s="60" t="str">
        <x:f>IF($D$6&lt;&gt;"Complete","",IF('Inputs'!$C$47+687&lt;=$D$9,'Inputs'!$C$47+687,""))</x:f>
      </x:c>
      <x:c r="C757" s="37" t="str">
        <x:f>IF(B757="","",SUMIFS($D$14:$D$23,$C$14:$C$23,B757))</x:f>
      </x:c>
      <x:c r="D757" s="37" t="str">
        <x:f>IF(B757="","",SUMIFS($E$14:$E$23,$C$14:$C$23,B757))</x:f>
      </x:c>
      <x:c r="E757" s="37" t="str">
        <x:f>IF(B757="","",C757-D757)</x:f>
      </x:c>
      <x:c r="F757" s="37" t="str">
        <x:f>IF(B757="","",F756+E757)</x:f>
      </x:c>
      <x:c r="G757" s="37" t="str">
        <x:f>IF(OR(B757="",$I$6&lt;&gt;"Complete"),"",SUMIFS($D$32:$D$51,$C$32:$C$51,B757,$I$32:$I$51,"Ready"))</x:f>
      </x:c>
      <x:c r="H757" s="37" t="str">
        <x:f>IF(OR(B757="",$I$6&lt;&gt;"Complete"),"",SUMIFS($E$32:$E$51,$C$32:$C$51,B757,$I$32:$I$51,"Ready"))</x:f>
      </x:c>
      <x:c r="I757" s="37" t="str">
        <x:f>IF(OR(B757="",$I$6&lt;&gt;"Complete"),"",I756+E757+G757-H757)</x:f>
      </x:c>
      <x:c r="J757" s="37" t="str">
        <x:f>IF(OR(B757="",$I$6&lt;&gt;"Complete"),"",'Inputs'!$C$49)</x:f>
      </x:c>
      <x:c r="K757" s="37" t="str">
        <x:f>IF(OR(B757="",$I$6&lt;&gt;"Complete"),"",I757-J757)</x:f>
      </x:c>
      <x:c r="L757" s="61" t="str">
        <x:f>IF(OR(B757="",$I$6&lt;&gt;"Complete"),"",IF(K757&lt;0,1,0))</x:f>
      </x:c>
    </x:row>
    <x:row r="758" ht="23" customHeight="1">
      <x:c r="A758" s="2"/>
      <x:c r="B758" s="60" t="str">
        <x:f>IF($D$6&lt;&gt;"Complete","",IF('Inputs'!$C$47+688&lt;=$D$9,'Inputs'!$C$47+688,""))</x:f>
      </x:c>
      <x:c r="C758" s="37" t="str">
        <x:f>IF(B758="","",SUMIFS($D$14:$D$23,$C$14:$C$23,B758))</x:f>
      </x:c>
      <x:c r="D758" s="37" t="str">
        <x:f>IF(B758="","",SUMIFS($E$14:$E$23,$C$14:$C$23,B758))</x:f>
      </x:c>
      <x:c r="E758" s="37" t="str">
        <x:f>IF(B758="","",C758-D758)</x:f>
      </x:c>
      <x:c r="F758" s="37" t="str">
        <x:f>IF(B758="","",F757+E758)</x:f>
      </x:c>
      <x:c r="G758" s="37" t="str">
        <x:f>IF(OR(B758="",$I$6&lt;&gt;"Complete"),"",SUMIFS($D$32:$D$51,$C$32:$C$51,B758,$I$32:$I$51,"Ready"))</x:f>
      </x:c>
      <x:c r="H758" s="37" t="str">
        <x:f>IF(OR(B758="",$I$6&lt;&gt;"Complete"),"",SUMIFS($E$32:$E$51,$C$32:$C$51,B758,$I$32:$I$51,"Ready"))</x:f>
      </x:c>
      <x:c r="I758" s="37" t="str">
        <x:f>IF(OR(B758="",$I$6&lt;&gt;"Complete"),"",I757+E758+G758-H758)</x:f>
      </x:c>
      <x:c r="J758" s="37" t="str">
        <x:f>IF(OR(B758="",$I$6&lt;&gt;"Complete"),"",'Inputs'!$C$49)</x:f>
      </x:c>
      <x:c r="K758" s="37" t="str">
        <x:f>IF(OR(B758="",$I$6&lt;&gt;"Complete"),"",I758-J758)</x:f>
      </x:c>
      <x:c r="L758" s="61" t="str">
        <x:f>IF(OR(B758="",$I$6&lt;&gt;"Complete"),"",IF(K758&lt;0,1,0))</x:f>
      </x:c>
    </x:row>
    <x:row r="759" ht="23" customHeight="1">
      <x:c r="A759" s="2"/>
      <x:c r="B759" s="60" t="str">
        <x:f>IF($D$6&lt;&gt;"Complete","",IF('Inputs'!$C$47+689&lt;=$D$9,'Inputs'!$C$47+689,""))</x:f>
      </x:c>
      <x:c r="C759" s="37" t="str">
        <x:f>IF(B759="","",SUMIFS($D$14:$D$23,$C$14:$C$23,B759))</x:f>
      </x:c>
      <x:c r="D759" s="37" t="str">
        <x:f>IF(B759="","",SUMIFS($E$14:$E$23,$C$14:$C$23,B759))</x:f>
      </x:c>
      <x:c r="E759" s="37" t="str">
        <x:f>IF(B759="","",C759-D759)</x:f>
      </x:c>
      <x:c r="F759" s="37" t="str">
        <x:f>IF(B759="","",F758+E759)</x:f>
      </x:c>
      <x:c r="G759" s="37" t="str">
        <x:f>IF(OR(B759="",$I$6&lt;&gt;"Complete"),"",SUMIFS($D$32:$D$51,$C$32:$C$51,B759,$I$32:$I$51,"Ready"))</x:f>
      </x:c>
      <x:c r="H759" s="37" t="str">
        <x:f>IF(OR(B759="",$I$6&lt;&gt;"Complete"),"",SUMIFS($E$32:$E$51,$C$32:$C$51,B759,$I$32:$I$51,"Ready"))</x:f>
      </x:c>
      <x:c r="I759" s="37" t="str">
        <x:f>IF(OR(B759="",$I$6&lt;&gt;"Complete"),"",I758+E759+G759-H759)</x:f>
      </x:c>
      <x:c r="J759" s="37" t="str">
        <x:f>IF(OR(B759="",$I$6&lt;&gt;"Complete"),"",'Inputs'!$C$49)</x:f>
      </x:c>
      <x:c r="K759" s="37" t="str">
        <x:f>IF(OR(B759="",$I$6&lt;&gt;"Complete"),"",I759-J759)</x:f>
      </x:c>
      <x:c r="L759" s="61" t="str">
        <x:f>IF(OR(B759="",$I$6&lt;&gt;"Complete"),"",IF(K759&lt;0,1,0))</x:f>
      </x:c>
    </x:row>
    <x:row r="760" ht="23" customHeight="1">
      <x:c r="A760" s="2"/>
      <x:c r="B760" s="60" t="str">
        <x:f>IF($D$6&lt;&gt;"Complete","",IF('Inputs'!$C$47+690&lt;=$D$9,'Inputs'!$C$47+690,""))</x:f>
      </x:c>
      <x:c r="C760" s="37" t="str">
        <x:f>IF(B760="","",SUMIFS($D$14:$D$23,$C$14:$C$23,B760))</x:f>
      </x:c>
      <x:c r="D760" s="37" t="str">
        <x:f>IF(B760="","",SUMIFS($E$14:$E$23,$C$14:$C$23,B760))</x:f>
      </x:c>
      <x:c r="E760" s="37" t="str">
        <x:f>IF(B760="","",C760-D760)</x:f>
      </x:c>
      <x:c r="F760" s="37" t="str">
        <x:f>IF(B760="","",F759+E760)</x:f>
      </x:c>
      <x:c r="G760" s="37" t="str">
        <x:f>IF(OR(B760="",$I$6&lt;&gt;"Complete"),"",SUMIFS($D$32:$D$51,$C$32:$C$51,B760,$I$32:$I$51,"Ready"))</x:f>
      </x:c>
      <x:c r="H760" s="37" t="str">
        <x:f>IF(OR(B760="",$I$6&lt;&gt;"Complete"),"",SUMIFS($E$32:$E$51,$C$32:$C$51,B760,$I$32:$I$51,"Ready"))</x:f>
      </x:c>
      <x:c r="I760" s="37" t="str">
        <x:f>IF(OR(B760="",$I$6&lt;&gt;"Complete"),"",I759+E760+G760-H760)</x:f>
      </x:c>
      <x:c r="J760" s="37" t="str">
        <x:f>IF(OR(B760="",$I$6&lt;&gt;"Complete"),"",'Inputs'!$C$49)</x:f>
      </x:c>
      <x:c r="K760" s="37" t="str">
        <x:f>IF(OR(B760="",$I$6&lt;&gt;"Complete"),"",I760-J760)</x:f>
      </x:c>
      <x:c r="L760" s="61" t="str">
        <x:f>IF(OR(B760="",$I$6&lt;&gt;"Complete"),"",IF(K760&lt;0,1,0))</x:f>
      </x:c>
    </x:row>
    <x:row r="761" ht="23" customHeight="1">
      <x:c r="A761" s="2"/>
      <x:c r="B761" s="60" t="str">
        <x:f>IF($D$6&lt;&gt;"Complete","",IF('Inputs'!$C$47+691&lt;=$D$9,'Inputs'!$C$47+691,""))</x:f>
      </x:c>
      <x:c r="C761" s="37" t="str">
        <x:f>IF(B761="","",SUMIFS($D$14:$D$23,$C$14:$C$23,B761))</x:f>
      </x:c>
      <x:c r="D761" s="37" t="str">
        <x:f>IF(B761="","",SUMIFS($E$14:$E$23,$C$14:$C$23,B761))</x:f>
      </x:c>
      <x:c r="E761" s="37" t="str">
        <x:f>IF(B761="","",C761-D761)</x:f>
      </x:c>
      <x:c r="F761" s="37" t="str">
        <x:f>IF(B761="","",F760+E761)</x:f>
      </x:c>
      <x:c r="G761" s="37" t="str">
        <x:f>IF(OR(B761="",$I$6&lt;&gt;"Complete"),"",SUMIFS($D$32:$D$51,$C$32:$C$51,B761,$I$32:$I$51,"Ready"))</x:f>
      </x:c>
      <x:c r="H761" s="37" t="str">
        <x:f>IF(OR(B761="",$I$6&lt;&gt;"Complete"),"",SUMIFS($E$32:$E$51,$C$32:$C$51,B761,$I$32:$I$51,"Ready"))</x:f>
      </x:c>
      <x:c r="I761" s="37" t="str">
        <x:f>IF(OR(B761="",$I$6&lt;&gt;"Complete"),"",I760+E761+G761-H761)</x:f>
      </x:c>
      <x:c r="J761" s="37" t="str">
        <x:f>IF(OR(B761="",$I$6&lt;&gt;"Complete"),"",'Inputs'!$C$49)</x:f>
      </x:c>
      <x:c r="K761" s="37" t="str">
        <x:f>IF(OR(B761="",$I$6&lt;&gt;"Complete"),"",I761-J761)</x:f>
      </x:c>
      <x:c r="L761" s="61" t="str">
        <x:f>IF(OR(B761="",$I$6&lt;&gt;"Complete"),"",IF(K761&lt;0,1,0))</x:f>
      </x:c>
    </x:row>
    <x:row r="762" ht="23" customHeight="1">
      <x:c r="A762" s="2"/>
      <x:c r="B762" s="60" t="str">
        <x:f>IF($D$6&lt;&gt;"Complete","",IF('Inputs'!$C$47+692&lt;=$D$9,'Inputs'!$C$47+692,""))</x:f>
      </x:c>
      <x:c r="C762" s="37" t="str">
        <x:f>IF(B762="","",SUMIFS($D$14:$D$23,$C$14:$C$23,B762))</x:f>
      </x:c>
      <x:c r="D762" s="37" t="str">
        <x:f>IF(B762="","",SUMIFS($E$14:$E$23,$C$14:$C$23,B762))</x:f>
      </x:c>
      <x:c r="E762" s="37" t="str">
        <x:f>IF(B762="","",C762-D762)</x:f>
      </x:c>
      <x:c r="F762" s="37" t="str">
        <x:f>IF(B762="","",F761+E762)</x:f>
      </x:c>
      <x:c r="G762" s="37" t="str">
        <x:f>IF(OR(B762="",$I$6&lt;&gt;"Complete"),"",SUMIFS($D$32:$D$51,$C$32:$C$51,B762,$I$32:$I$51,"Ready"))</x:f>
      </x:c>
      <x:c r="H762" s="37" t="str">
        <x:f>IF(OR(B762="",$I$6&lt;&gt;"Complete"),"",SUMIFS($E$32:$E$51,$C$32:$C$51,B762,$I$32:$I$51,"Ready"))</x:f>
      </x:c>
      <x:c r="I762" s="37" t="str">
        <x:f>IF(OR(B762="",$I$6&lt;&gt;"Complete"),"",I761+E762+G762-H762)</x:f>
      </x:c>
      <x:c r="J762" s="37" t="str">
        <x:f>IF(OR(B762="",$I$6&lt;&gt;"Complete"),"",'Inputs'!$C$49)</x:f>
      </x:c>
      <x:c r="K762" s="37" t="str">
        <x:f>IF(OR(B762="",$I$6&lt;&gt;"Complete"),"",I762-J762)</x:f>
      </x:c>
      <x:c r="L762" s="61" t="str">
        <x:f>IF(OR(B762="",$I$6&lt;&gt;"Complete"),"",IF(K762&lt;0,1,0))</x:f>
      </x:c>
    </x:row>
    <x:row r="763" ht="23" customHeight="1">
      <x:c r="A763" s="2"/>
      <x:c r="B763" s="60" t="str">
        <x:f>IF($D$6&lt;&gt;"Complete","",IF('Inputs'!$C$47+693&lt;=$D$9,'Inputs'!$C$47+693,""))</x:f>
      </x:c>
      <x:c r="C763" s="37" t="str">
        <x:f>IF(B763="","",SUMIFS($D$14:$D$23,$C$14:$C$23,B763))</x:f>
      </x:c>
      <x:c r="D763" s="37" t="str">
        <x:f>IF(B763="","",SUMIFS($E$14:$E$23,$C$14:$C$23,B763))</x:f>
      </x:c>
      <x:c r="E763" s="37" t="str">
        <x:f>IF(B763="","",C763-D763)</x:f>
      </x:c>
      <x:c r="F763" s="37" t="str">
        <x:f>IF(B763="","",F762+E763)</x:f>
      </x:c>
      <x:c r="G763" s="37" t="str">
        <x:f>IF(OR(B763="",$I$6&lt;&gt;"Complete"),"",SUMIFS($D$32:$D$51,$C$32:$C$51,B763,$I$32:$I$51,"Ready"))</x:f>
      </x:c>
      <x:c r="H763" s="37" t="str">
        <x:f>IF(OR(B763="",$I$6&lt;&gt;"Complete"),"",SUMIFS($E$32:$E$51,$C$32:$C$51,B763,$I$32:$I$51,"Ready"))</x:f>
      </x:c>
      <x:c r="I763" s="37" t="str">
        <x:f>IF(OR(B763="",$I$6&lt;&gt;"Complete"),"",I762+E763+G763-H763)</x:f>
      </x:c>
      <x:c r="J763" s="37" t="str">
        <x:f>IF(OR(B763="",$I$6&lt;&gt;"Complete"),"",'Inputs'!$C$49)</x:f>
      </x:c>
      <x:c r="K763" s="37" t="str">
        <x:f>IF(OR(B763="",$I$6&lt;&gt;"Complete"),"",I763-J763)</x:f>
      </x:c>
      <x:c r="L763" s="61" t="str">
        <x:f>IF(OR(B763="",$I$6&lt;&gt;"Complete"),"",IF(K763&lt;0,1,0))</x:f>
      </x:c>
    </x:row>
    <x:row r="764" ht="23" customHeight="1">
      <x:c r="A764" s="2"/>
      <x:c r="B764" s="60" t="str">
        <x:f>IF($D$6&lt;&gt;"Complete","",IF('Inputs'!$C$47+694&lt;=$D$9,'Inputs'!$C$47+694,""))</x:f>
      </x:c>
      <x:c r="C764" s="37" t="str">
        <x:f>IF(B764="","",SUMIFS($D$14:$D$23,$C$14:$C$23,B764))</x:f>
      </x:c>
      <x:c r="D764" s="37" t="str">
        <x:f>IF(B764="","",SUMIFS($E$14:$E$23,$C$14:$C$23,B764))</x:f>
      </x:c>
      <x:c r="E764" s="37" t="str">
        <x:f>IF(B764="","",C764-D764)</x:f>
      </x:c>
      <x:c r="F764" s="37" t="str">
        <x:f>IF(B764="","",F763+E764)</x:f>
      </x:c>
      <x:c r="G764" s="37" t="str">
        <x:f>IF(OR(B764="",$I$6&lt;&gt;"Complete"),"",SUMIFS($D$32:$D$51,$C$32:$C$51,B764,$I$32:$I$51,"Ready"))</x:f>
      </x:c>
      <x:c r="H764" s="37" t="str">
        <x:f>IF(OR(B764="",$I$6&lt;&gt;"Complete"),"",SUMIFS($E$32:$E$51,$C$32:$C$51,B764,$I$32:$I$51,"Ready"))</x:f>
      </x:c>
      <x:c r="I764" s="37" t="str">
        <x:f>IF(OR(B764="",$I$6&lt;&gt;"Complete"),"",I763+E764+G764-H764)</x:f>
      </x:c>
      <x:c r="J764" s="37" t="str">
        <x:f>IF(OR(B764="",$I$6&lt;&gt;"Complete"),"",'Inputs'!$C$49)</x:f>
      </x:c>
      <x:c r="K764" s="37" t="str">
        <x:f>IF(OR(B764="",$I$6&lt;&gt;"Complete"),"",I764-J764)</x:f>
      </x:c>
      <x:c r="L764" s="61" t="str">
        <x:f>IF(OR(B764="",$I$6&lt;&gt;"Complete"),"",IF(K764&lt;0,1,0))</x:f>
      </x:c>
    </x:row>
    <x:row r="765" ht="23" customHeight="1">
      <x:c r="A765" s="2"/>
      <x:c r="B765" s="60" t="str">
        <x:f>IF($D$6&lt;&gt;"Complete","",IF('Inputs'!$C$47+695&lt;=$D$9,'Inputs'!$C$47+695,""))</x:f>
      </x:c>
      <x:c r="C765" s="37" t="str">
        <x:f>IF(B765="","",SUMIFS($D$14:$D$23,$C$14:$C$23,B765))</x:f>
      </x:c>
      <x:c r="D765" s="37" t="str">
        <x:f>IF(B765="","",SUMIFS($E$14:$E$23,$C$14:$C$23,B765))</x:f>
      </x:c>
      <x:c r="E765" s="37" t="str">
        <x:f>IF(B765="","",C765-D765)</x:f>
      </x:c>
      <x:c r="F765" s="37" t="str">
        <x:f>IF(B765="","",F764+E765)</x:f>
      </x:c>
      <x:c r="G765" s="37" t="str">
        <x:f>IF(OR(B765="",$I$6&lt;&gt;"Complete"),"",SUMIFS($D$32:$D$51,$C$32:$C$51,B765,$I$32:$I$51,"Ready"))</x:f>
      </x:c>
      <x:c r="H765" s="37" t="str">
        <x:f>IF(OR(B765="",$I$6&lt;&gt;"Complete"),"",SUMIFS($E$32:$E$51,$C$32:$C$51,B765,$I$32:$I$51,"Ready"))</x:f>
      </x:c>
      <x:c r="I765" s="37" t="str">
        <x:f>IF(OR(B765="",$I$6&lt;&gt;"Complete"),"",I764+E765+G765-H765)</x:f>
      </x:c>
      <x:c r="J765" s="37" t="str">
        <x:f>IF(OR(B765="",$I$6&lt;&gt;"Complete"),"",'Inputs'!$C$49)</x:f>
      </x:c>
      <x:c r="K765" s="37" t="str">
        <x:f>IF(OR(B765="",$I$6&lt;&gt;"Complete"),"",I765-J765)</x:f>
      </x:c>
      <x:c r="L765" s="61" t="str">
        <x:f>IF(OR(B765="",$I$6&lt;&gt;"Complete"),"",IF(K765&lt;0,1,0))</x:f>
      </x:c>
    </x:row>
    <x:row r="766" ht="23" customHeight="1">
      <x:c r="A766" s="2"/>
      <x:c r="B766" s="60" t="str">
        <x:f>IF($D$6&lt;&gt;"Complete","",IF('Inputs'!$C$47+696&lt;=$D$9,'Inputs'!$C$47+696,""))</x:f>
      </x:c>
      <x:c r="C766" s="37" t="str">
        <x:f>IF(B766="","",SUMIFS($D$14:$D$23,$C$14:$C$23,B766))</x:f>
      </x:c>
      <x:c r="D766" s="37" t="str">
        <x:f>IF(B766="","",SUMIFS($E$14:$E$23,$C$14:$C$23,B766))</x:f>
      </x:c>
      <x:c r="E766" s="37" t="str">
        <x:f>IF(B766="","",C766-D766)</x:f>
      </x:c>
      <x:c r="F766" s="37" t="str">
        <x:f>IF(B766="","",F765+E766)</x:f>
      </x:c>
      <x:c r="G766" s="37" t="str">
        <x:f>IF(OR(B766="",$I$6&lt;&gt;"Complete"),"",SUMIFS($D$32:$D$51,$C$32:$C$51,B766,$I$32:$I$51,"Ready"))</x:f>
      </x:c>
      <x:c r="H766" s="37" t="str">
        <x:f>IF(OR(B766="",$I$6&lt;&gt;"Complete"),"",SUMIFS($E$32:$E$51,$C$32:$C$51,B766,$I$32:$I$51,"Ready"))</x:f>
      </x:c>
      <x:c r="I766" s="37" t="str">
        <x:f>IF(OR(B766="",$I$6&lt;&gt;"Complete"),"",I765+E766+G766-H766)</x:f>
      </x:c>
      <x:c r="J766" s="37" t="str">
        <x:f>IF(OR(B766="",$I$6&lt;&gt;"Complete"),"",'Inputs'!$C$49)</x:f>
      </x:c>
      <x:c r="K766" s="37" t="str">
        <x:f>IF(OR(B766="",$I$6&lt;&gt;"Complete"),"",I766-J766)</x:f>
      </x:c>
      <x:c r="L766" s="61" t="str">
        <x:f>IF(OR(B766="",$I$6&lt;&gt;"Complete"),"",IF(K766&lt;0,1,0))</x:f>
      </x:c>
    </x:row>
    <x:row r="767" ht="23" customHeight="1">
      <x:c r="A767" s="2"/>
      <x:c r="B767" s="60" t="str">
        <x:f>IF($D$6&lt;&gt;"Complete","",IF('Inputs'!$C$47+697&lt;=$D$9,'Inputs'!$C$47+697,""))</x:f>
      </x:c>
      <x:c r="C767" s="37" t="str">
        <x:f>IF(B767="","",SUMIFS($D$14:$D$23,$C$14:$C$23,B767))</x:f>
      </x:c>
      <x:c r="D767" s="37" t="str">
        <x:f>IF(B767="","",SUMIFS($E$14:$E$23,$C$14:$C$23,B767))</x:f>
      </x:c>
      <x:c r="E767" s="37" t="str">
        <x:f>IF(B767="","",C767-D767)</x:f>
      </x:c>
      <x:c r="F767" s="37" t="str">
        <x:f>IF(B767="","",F766+E767)</x:f>
      </x:c>
      <x:c r="G767" s="37" t="str">
        <x:f>IF(OR(B767="",$I$6&lt;&gt;"Complete"),"",SUMIFS($D$32:$D$51,$C$32:$C$51,B767,$I$32:$I$51,"Ready"))</x:f>
      </x:c>
      <x:c r="H767" s="37" t="str">
        <x:f>IF(OR(B767="",$I$6&lt;&gt;"Complete"),"",SUMIFS($E$32:$E$51,$C$32:$C$51,B767,$I$32:$I$51,"Ready"))</x:f>
      </x:c>
      <x:c r="I767" s="37" t="str">
        <x:f>IF(OR(B767="",$I$6&lt;&gt;"Complete"),"",I766+E767+G767-H767)</x:f>
      </x:c>
      <x:c r="J767" s="37" t="str">
        <x:f>IF(OR(B767="",$I$6&lt;&gt;"Complete"),"",'Inputs'!$C$49)</x:f>
      </x:c>
      <x:c r="K767" s="37" t="str">
        <x:f>IF(OR(B767="",$I$6&lt;&gt;"Complete"),"",I767-J767)</x:f>
      </x:c>
      <x:c r="L767" s="61" t="str">
        <x:f>IF(OR(B767="",$I$6&lt;&gt;"Complete"),"",IF(K767&lt;0,1,0))</x:f>
      </x:c>
    </x:row>
    <x:row r="768" ht="23" customHeight="1">
      <x:c r="A768" s="2"/>
      <x:c r="B768" s="60" t="str">
        <x:f>IF($D$6&lt;&gt;"Complete","",IF('Inputs'!$C$47+698&lt;=$D$9,'Inputs'!$C$47+698,""))</x:f>
      </x:c>
      <x:c r="C768" s="37" t="str">
        <x:f>IF(B768="","",SUMIFS($D$14:$D$23,$C$14:$C$23,B768))</x:f>
      </x:c>
      <x:c r="D768" s="37" t="str">
        <x:f>IF(B768="","",SUMIFS($E$14:$E$23,$C$14:$C$23,B768))</x:f>
      </x:c>
      <x:c r="E768" s="37" t="str">
        <x:f>IF(B768="","",C768-D768)</x:f>
      </x:c>
      <x:c r="F768" s="37" t="str">
        <x:f>IF(B768="","",F767+E768)</x:f>
      </x:c>
      <x:c r="G768" s="37" t="str">
        <x:f>IF(OR(B768="",$I$6&lt;&gt;"Complete"),"",SUMIFS($D$32:$D$51,$C$32:$C$51,B768,$I$32:$I$51,"Ready"))</x:f>
      </x:c>
      <x:c r="H768" s="37" t="str">
        <x:f>IF(OR(B768="",$I$6&lt;&gt;"Complete"),"",SUMIFS($E$32:$E$51,$C$32:$C$51,B768,$I$32:$I$51,"Ready"))</x:f>
      </x:c>
      <x:c r="I768" s="37" t="str">
        <x:f>IF(OR(B768="",$I$6&lt;&gt;"Complete"),"",I767+E768+G768-H768)</x:f>
      </x:c>
      <x:c r="J768" s="37" t="str">
        <x:f>IF(OR(B768="",$I$6&lt;&gt;"Complete"),"",'Inputs'!$C$49)</x:f>
      </x:c>
      <x:c r="K768" s="37" t="str">
        <x:f>IF(OR(B768="",$I$6&lt;&gt;"Complete"),"",I768-J768)</x:f>
      </x:c>
      <x:c r="L768" s="61" t="str">
        <x:f>IF(OR(B768="",$I$6&lt;&gt;"Complete"),"",IF(K768&lt;0,1,0))</x:f>
      </x:c>
    </x:row>
    <x:row r="769" ht="23" customHeight="1">
      <x:c r="A769" s="2"/>
      <x:c r="B769" s="60" t="str">
        <x:f>IF($D$6&lt;&gt;"Complete","",IF('Inputs'!$C$47+699&lt;=$D$9,'Inputs'!$C$47+699,""))</x:f>
      </x:c>
      <x:c r="C769" s="37" t="str">
        <x:f>IF(B769="","",SUMIFS($D$14:$D$23,$C$14:$C$23,B769))</x:f>
      </x:c>
      <x:c r="D769" s="37" t="str">
        <x:f>IF(B769="","",SUMIFS($E$14:$E$23,$C$14:$C$23,B769))</x:f>
      </x:c>
      <x:c r="E769" s="37" t="str">
        <x:f>IF(B769="","",C769-D769)</x:f>
      </x:c>
      <x:c r="F769" s="37" t="str">
        <x:f>IF(B769="","",F768+E769)</x:f>
      </x:c>
      <x:c r="G769" s="37" t="str">
        <x:f>IF(OR(B769="",$I$6&lt;&gt;"Complete"),"",SUMIFS($D$32:$D$51,$C$32:$C$51,B769,$I$32:$I$51,"Ready"))</x:f>
      </x:c>
      <x:c r="H769" s="37" t="str">
        <x:f>IF(OR(B769="",$I$6&lt;&gt;"Complete"),"",SUMIFS($E$32:$E$51,$C$32:$C$51,B769,$I$32:$I$51,"Ready"))</x:f>
      </x:c>
      <x:c r="I769" s="37" t="str">
        <x:f>IF(OR(B769="",$I$6&lt;&gt;"Complete"),"",I768+E769+G769-H769)</x:f>
      </x:c>
      <x:c r="J769" s="37" t="str">
        <x:f>IF(OR(B769="",$I$6&lt;&gt;"Complete"),"",'Inputs'!$C$49)</x:f>
      </x:c>
      <x:c r="K769" s="37" t="str">
        <x:f>IF(OR(B769="",$I$6&lt;&gt;"Complete"),"",I769-J769)</x:f>
      </x:c>
      <x:c r="L769" s="61" t="str">
        <x:f>IF(OR(B769="",$I$6&lt;&gt;"Complete"),"",IF(K769&lt;0,1,0))</x:f>
      </x:c>
    </x:row>
    <x:row r="770" ht="23" customHeight="1">
      <x:c r="A770" s="2"/>
      <x:c r="B770" s="60" t="str">
        <x:f>IF($D$6&lt;&gt;"Complete","",IF('Inputs'!$C$47+700&lt;=$D$9,'Inputs'!$C$47+700,""))</x:f>
      </x:c>
      <x:c r="C770" s="37" t="str">
        <x:f>IF(B770="","",SUMIFS($D$14:$D$23,$C$14:$C$23,B770))</x:f>
      </x:c>
      <x:c r="D770" s="37" t="str">
        <x:f>IF(B770="","",SUMIFS($E$14:$E$23,$C$14:$C$23,B770))</x:f>
      </x:c>
      <x:c r="E770" s="37" t="str">
        <x:f>IF(B770="","",C770-D770)</x:f>
      </x:c>
      <x:c r="F770" s="37" t="str">
        <x:f>IF(B770="","",F769+E770)</x:f>
      </x:c>
      <x:c r="G770" s="37" t="str">
        <x:f>IF(OR(B770="",$I$6&lt;&gt;"Complete"),"",SUMIFS($D$32:$D$51,$C$32:$C$51,B770,$I$32:$I$51,"Ready"))</x:f>
      </x:c>
      <x:c r="H770" s="37" t="str">
        <x:f>IF(OR(B770="",$I$6&lt;&gt;"Complete"),"",SUMIFS($E$32:$E$51,$C$32:$C$51,B770,$I$32:$I$51,"Ready"))</x:f>
      </x:c>
      <x:c r="I770" s="37" t="str">
        <x:f>IF(OR(B770="",$I$6&lt;&gt;"Complete"),"",I769+E770+G770-H770)</x:f>
      </x:c>
      <x:c r="J770" s="37" t="str">
        <x:f>IF(OR(B770="",$I$6&lt;&gt;"Complete"),"",'Inputs'!$C$49)</x:f>
      </x:c>
      <x:c r="K770" s="37" t="str">
        <x:f>IF(OR(B770="",$I$6&lt;&gt;"Complete"),"",I770-J770)</x:f>
      </x:c>
      <x:c r="L770" s="61" t="str">
        <x:f>IF(OR(B770="",$I$6&lt;&gt;"Complete"),"",IF(K770&lt;0,1,0))</x:f>
      </x:c>
    </x:row>
    <x:row r="771" ht="23" customHeight="1">
      <x:c r="A771" s="2"/>
      <x:c r="B771" s="60" t="str">
        <x:f>IF($D$6&lt;&gt;"Complete","",IF('Inputs'!$C$47+701&lt;=$D$9,'Inputs'!$C$47+701,""))</x:f>
      </x:c>
      <x:c r="C771" s="37" t="str">
        <x:f>IF(B771="","",SUMIFS($D$14:$D$23,$C$14:$C$23,B771))</x:f>
      </x:c>
      <x:c r="D771" s="37" t="str">
        <x:f>IF(B771="","",SUMIFS($E$14:$E$23,$C$14:$C$23,B771))</x:f>
      </x:c>
      <x:c r="E771" s="37" t="str">
        <x:f>IF(B771="","",C771-D771)</x:f>
      </x:c>
      <x:c r="F771" s="37" t="str">
        <x:f>IF(B771="","",F770+E771)</x:f>
      </x:c>
      <x:c r="G771" s="37" t="str">
        <x:f>IF(OR(B771="",$I$6&lt;&gt;"Complete"),"",SUMIFS($D$32:$D$51,$C$32:$C$51,B771,$I$32:$I$51,"Ready"))</x:f>
      </x:c>
      <x:c r="H771" s="37" t="str">
        <x:f>IF(OR(B771="",$I$6&lt;&gt;"Complete"),"",SUMIFS($E$32:$E$51,$C$32:$C$51,B771,$I$32:$I$51,"Ready"))</x:f>
      </x:c>
      <x:c r="I771" s="37" t="str">
        <x:f>IF(OR(B771="",$I$6&lt;&gt;"Complete"),"",I770+E771+G771-H771)</x:f>
      </x:c>
      <x:c r="J771" s="37" t="str">
        <x:f>IF(OR(B771="",$I$6&lt;&gt;"Complete"),"",'Inputs'!$C$49)</x:f>
      </x:c>
      <x:c r="K771" s="37" t="str">
        <x:f>IF(OR(B771="",$I$6&lt;&gt;"Complete"),"",I771-J771)</x:f>
      </x:c>
      <x:c r="L771" s="61" t="str">
        <x:f>IF(OR(B771="",$I$6&lt;&gt;"Complete"),"",IF(K771&lt;0,1,0))</x:f>
      </x:c>
    </x:row>
    <x:row r="772" ht="23" customHeight="1">
      <x:c r="A772" s="2"/>
      <x:c r="B772" s="60" t="str">
        <x:f>IF($D$6&lt;&gt;"Complete","",IF('Inputs'!$C$47+702&lt;=$D$9,'Inputs'!$C$47+702,""))</x:f>
      </x:c>
      <x:c r="C772" s="37" t="str">
        <x:f>IF(B772="","",SUMIFS($D$14:$D$23,$C$14:$C$23,B772))</x:f>
      </x:c>
      <x:c r="D772" s="37" t="str">
        <x:f>IF(B772="","",SUMIFS($E$14:$E$23,$C$14:$C$23,B772))</x:f>
      </x:c>
      <x:c r="E772" s="37" t="str">
        <x:f>IF(B772="","",C772-D772)</x:f>
      </x:c>
      <x:c r="F772" s="37" t="str">
        <x:f>IF(B772="","",F771+E772)</x:f>
      </x:c>
      <x:c r="G772" s="37" t="str">
        <x:f>IF(OR(B772="",$I$6&lt;&gt;"Complete"),"",SUMIFS($D$32:$D$51,$C$32:$C$51,B772,$I$32:$I$51,"Ready"))</x:f>
      </x:c>
      <x:c r="H772" s="37" t="str">
        <x:f>IF(OR(B772="",$I$6&lt;&gt;"Complete"),"",SUMIFS($E$32:$E$51,$C$32:$C$51,B772,$I$32:$I$51,"Ready"))</x:f>
      </x:c>
      <x:c r="I772" s="37" t="str">
        <x:f>IF(OR(B772="",$I$6&lt;&gt;"Complete"),"",I771+E772+G772-H772)</x:f>
      </x:c>
      <x:c r="J772" s="37" t="str">
        <x:f>IF(OR(B772="",$I$6&lt;&gt;"Complete"),"",'Inputs'!$C$49)</x:f>
      </x:c>
      <x:c r="K772" s="37" t="str">
        <x:f>IF(OR(B772="",$I$6&lt;&gt;"Complete"),"",I772-J772)</x:f>
      </x:c>
      <x:c r="L772" s="61" t="str">
        <x:f>IF(OR(B772="",$I$6&lt;&gt;"Complete"),"",IF(K772&lt;0,1,0))</x:f>
      </x:c>
    </x:row>
    <x:row r="773" ht="23" customHeight="1">
      <x:c r="A773" s="2"/>
      <x:c r="B773" s="60" t="str">
        <x:f>IF($D$6&lt;&gt;"Complete","",IF('Inputs'!$C$47+703&lt;=$D$9,'Inputs'!$C$47+703,""))</x:f>
      </x:c>
      <x:c r="C773" s="37" t="str">
        <x:f>IF(B773="","",SUMIFS($D$14:$D$23,$C$14:$C$23,B773))</x:f>
      </x:c>
      <x:c r="D773" s="37" t="str">
        <x:f>IF(B773="","",SUMIFS($E$14:$E$23,$C$14:$C$23,B773))</x:f>
      </x:c>
      <x:c r="E773" s="37" t="str">
        <x:f>IF(B773="","",C773-D773)</x:f>
      </x:c>
      <x:c r="F773" s="37" t="str">
        <x:f>IF(B773="","",F772+E773)</x:f>
      </x:c>
      <x:c r="G773" s="37" t="str">
        <x:f>IF(OR(B773="",$I$6&lt;&gt;"Complete"),"",SUMIFS($D$32:$D$51,$C$32:$C$51,B773,$I$32:$I$51,"Ready"))</x:f>
      </x:c>
      <x:c r="H773" s="37" t="str">
        <x:f>IF(OR(B773="",$I$6&lt;&gt;"Complete"),"",SUMIFS($E$32:$E$51,$C$32:$C$51,B773,$I$32:$I$51,"Ready"))</x:f>
      </x:c>
      <x:c r="I773" s="37" t="str">
        <x:f>IF(OR(B773="",$I$6&lt;&gt;"Complete"),"",I772+E773+G773-H773)</x:f>
      </x:c>
      <x:c r="J773" s="37" t="str">
        <x:f>IF(OR(B773="",$I$6&lt;&gt;"Complete"),"",'Inputs'!$C$49)</x:f>
      </x:c>
      <x:c r="K773" s="37" t="str">
        <x:f>IF(OR(B773="",$I$6&lt;&gt;"Complete"),"",I773-J773)</x:f>
      </x:c>
      <x:c r="L773" s="61" t="str">
        <x:f>IF(OR(B773="",$I$6&lt;&gt;"Complete"),"",IF(K773&lt;0,1,0))</x:f>
      </x:c>
    </x:row>
    <x:row r="774" ht="23" customHeight="1">
      <x:c r="A774" s="2"/>
      <x:c r="B774" s="60" t="str">
        <x:f>IF($D$6&lt;&gt;"Complete","",IF('Inputs'!$C$47+704&lt;=$D$9,'Inputs'!$C$47+704,""))</x:f>
      </x:c>
      <x:c r="C774" s="37" t="str">
        <x:f>IF(B774="","",SUMIFS($D$14:$D$23,$C$14:$C$23,B774))</x:f>
      </x:c>
      <x:c r="D774" s="37" t="str">
        <x:f>IF(B774="","",SUMIFS($E$14:$E$23,$C$14:$C$23,B774))</x:f>
      </x:c>
      <x:c r="E774" s="37" t="str">
        <x:f>IF(B774="","",C774-D774)</x:f>
      </x:c>
      <x:c r="F774" s="37" t="str">
        <x:f>IF(B774="","",F773+E774)</x:f>
      </x:c>
      <x:c r="G774" s="37" t="str">
        <x:f>IF(OR(B774="",$I$6&lt;&gt;"Complete"),"",SUMIFS($D$32:$D$51,$C$32:$C$51,B774,$I$32:$I$51,"Ready"))</x:f>
      </x:c>
      <x:c r="H774" s="37" t="str">
        <x:f>IF(OR(B774="",$I$6&lt;&gt;"Complete"),"",SUMIFS($E$32:$E$51,$C$32:$C$51,B774,$I$32:$I$51,"Ready"))</x:f>
      </x:c>
      <x:c r="I774" s="37" t="str">
        <x:f>IF(OR(B774="",$I$6&lt;&gt;"Complete"),"",I773+E774+G774-H774)</x:f>
      </x:c>
      <x:c r="J774" s="37" t="str">
        <x:f>IF(OR(B774="",$I$6&lt;&gt;"Complete"),"",'Inputs'!$C$49)</x:f>
      </x:c>
      <x:c r="K774" s="37" t="str">
        <x:f>IF(OR(B774="",$I$6&lt;&gt;"Complete"),"",I774-J774)</x:f>
      </x:c>
      <x:c r="L774" s="61" t="str">
        <x:f>IF(OR(B774="",$I$6&lt;&gt;"Complete"),"",IF(K774&lt;0,1,0))</x:f>
      </x:c>
    </x:row>
    <x:row r="775" ht="23" customHeight="1">
      <x:c r="A775" s="2"/>
      <x:c r="B775" s="60" t="str">
        <x:f>IF($D$6&lt;&gt;"Complete","",IF('Inputs'!$C$47+705&lt;=$D$9,'Inputs'!$C$47+705,""))</x:f>
      </x:c>
      <x:c r="C775" s="37" t="str">
        <x:f>IF(B775="","",SUMIFS($D$14:$D$23,$C$14:$C$23,B775))</x:f>
      </x:c>
      <x:c r="D775" s="37" t="str">
        <x:f>IF(B775="","",SUMIFS($E$14:$E$23,$C$14:$C$23,B775))</x:f>
      </x:c>
      <x:c r="E775" s="37" t="str">
        <x:f>IF(B775="","",C775-D775)</x:f>
      </x:c>
      <x:c r="F775" s="37" t="str">
        <x:f>IF(B775="","",F774+E775)</x:f>
      </x:c>
      <x:c r="G775" s="37" t="str">
        <x:f>IF(OR(B775="",$I$6&lt;&gt;"Complete"),"",SUMIFS($D$32:$D$51,$C$32:$C$51,B775,$I$32:$I$51,"Ready"))</x:f>
      </x:c>
      <x:c r="H775" s="37" t="str">
        <x:f>IF(OR(B775="",$I$6&lt;&gt;"Complete"),"",SUMIFS($E$32:$E$51,$C$32:$C$51,B775,$I$32:$I$51,"Ready"))</x:f>
      </x:c>
      <x:c r="I775" s="37" t="str">
        <x:f>IF(OR(B775="",$I$6&lt;&gt;"Complete"),"",I774+E775+G775-H775)</x:f>
      </x:c>
      <x:c r="J775" s="37" t="str">
        <x:f>IF(OR(B775="",$I$6&lt;&gt;"Complete"),"",'Inputs'!$C$49)</x:f>
      </x:c>
      <x:c r="K775" s="37" t="str">
        <x:f>IF(OR(B775="",$I$6&lt;&gt;"Complete"),"",I775-J775)</x:f>
      </x:c>
      <x:c r="L775" s="61" t="str">
        <x:f>IF(OR(B775="",$I$6&lt;&gt;"Complete"),"",IF(K775&lt;0,1,0))</x:f>
      </x:c>
    </x:row>
    <x:row r="776" ht="23" customHeight="1">
      <x:c r="A776" s="2"/>
      <x:c r="B776" s="60" t="str">
        <x:f>IF($D$6&lt;&gt;"Complete","",IF('Inputs'!$C$47+706&lt;=$D$9,'Inputs'!$C$47+706,""))</x:f>
      </x:c>
      <x:c r="C776" s="37" t="str">
        <x:f>IF(B776="","",SUMIFS($D$14:$D$23,$C$14:$C$23,B776))</x:f>
      </x:c>
      <x:c r="D776" s="37" t="str">
        <x:f>IF(B776="","",SUMIFS($E$14:$E$23,$C$14:$C$23,B776))</x:f>
      </x:c>
      <x:c r="E776" s="37" t="str">
        <x:f>IF(B776="","",C776-D776)</x:f>
      </x:c>
      <x:c r="F776" s="37" t="str">
        <x:f>IF(B776="","",F775+E776)</x:f>
      </x:c>
      <x:c r="G776" s="37" t="str">
        <x:f>IF(OR(B776="",$I$6&lt;&gt;"Complete"),"",SUMIFS($D$32:$D$51,$C$32:$C$51,B776,$I$32:$I$51,"Ready"))</x:f>
      </x:c>
      <x:c r="H776" s="37" t="str">
        <x:f>IF(OR(B776="",$I$6&lt;&gt;"Complete"),"",SUMIFS($E$32:$E$51,$C$32:$C$51,B776,$I$32:$I$51,"Ready"))</x:f>
      </x:c>
      <x:c r="I776" s="37" t="str">
        <x:f>IF(OR(B776="",$I$6&lt;&gt;"Complete"),"",I775+E776+G776-H776)</x:f>
      </x:c>
      <x:c r="J776" s="37" t="str">
        <x:f>IF(OR(B776="",$I$6&lt;&gt;"Complete"),"",'Inputs'!$C$49)</x:f>
      </x:c>
      <x:c r="K776" s="37" t="str">
        <x:f>IF(OR(B776="",$I$6&lt;&gt;"Complete"),"",I776-J776)</x:f>
      </x:c>
      <x:c r="L776" s="61" t="str">
        <x:f>IF(OR(B776="",$I$6&lt;&gt;"Complete"),"",IF(K776&lt;0,1,0))</x:f>
      </x:c>
    </x:row>
    <x:row r="777" ht="23" customHeight="1">
      <x:c r="A777" s="2"/>
      <x:c r="B777" s="60" t="str">
        <x:f>IF($D$6&lt;&gt;"Complete","",IF('Inputs'!$C$47+707&lt;=$D$9,'Inputs'!$C$47+707,""))</x:f>
      </x:c>
      <x:c r="C777" s="37" t="str">
        <x:f>IF(B777="","",SUMIFS($D$14:$D$23,$C$14:$C$23,B777))</x:f>
      </x:c>
      <x:c r="D777" s="37" t="str">
        <x:f>IF(B777="","",SUMIFS($E$14:$E$23,$C$14:$C$23,B777))</x:f>
      </x:c>
      <x:c r="E777" s="37" t="str">
        <x:f>IF(B777="","",C777-D777)</x:f>
      </x:c>
      <x:c r="F777" s="37" t="str">
        <x:f>IF(B777="","",F776+E777)</x:f>
      </x:c>
      <x:c r="G777" s="37" t="str">
        <x:f>IF(OR(B777="",$I$6&lt;&gt;"Complete"),"",SUMIFS($D$32:$D$51,$C$32:$C$51,B777,$I$32:$I$51,"Ready"))</x:f>
      </x:c>
      <x:c r="H777" s="37" t="str">
        <x:f>IF(OR(B777="",$I$6&lt;&gt;"Complete"),"",SUMIFS($E$32:$E$51,$C$32:$C$51,B777,$I$32:$I$51,"Ready"))</x:f>
      </x:c>
      <x:c r="I777" s="37" t="str">
        <x:f>IF(OR(B777="",$I$6&lt;&gt;"Complete"),"",I776+E777+G777-H777)</x:f>
      </x:c>
      <x:c r="J777" s="37" t="str">
        <x:f>IF(OR(B777="",$I$6&lt;&gt;"Complete"),"",'Inputs'!$C$49)</x:f>
      </x:c>
      <x:c r="K777" s="37" t="str">
        <x:f>IF(OR(B777="",$I$6&lt;&gt;"Complete"),"",I777-J777)</x:f>
      </x:c>
      <x:c r="L777" s="61" t="str">
        <x:f>IF(OR(B777="",$I$6&lt;&gt;"Complete"),"",IF(K777&lt;0,1,0))</x:f>
      </x:c>
    </x:row>
    <x:row r="778" ht="23" customHeight="1">
      <x:c r="A778" s="2"/>
      <x:c r="B778" s="60" t="str">
        <x:f>IF($D$6&lt;&gt;"Complete","",IF('Inputs'!$C$47+708&lt;=$D$9,'Inputs'!$C$47+708,""))</x:f>
      </x:c>
      <x:c r="C778" s="37" t="str">
        <x:f>IF(B778="","",SUMIFS($D$14:$D$23,$C$14:$C$23,B778))</x:f>
      </x:c>
      <x:c r="D778" s="37" t="str">
        <x:f>IF(B778="","",SUMIFS($E$14:$E$23,$C$14:$C$23,B778))</x:f>
      </x:c>
      <x:c r="E778" s="37" t="str">
        <x:f>IF(B778="","",C778-D778)</x:f>
      </x:c>
      <x:c r="F778" s="37" t="str">
        <x:f>IF(B778="","",F777+E778)</x:f>
      </x:c>
      <x:c r="G778" s="37" t="str">
        <x:f>IF(OR(B778="",$I$6&lt;&gt;"Complete"),"",SUMIFS($D$32:$D$51,$C$32:$C$51,B778,$I$32:$I$51,"Ready"))</x:f>
      </x:c>
      <x:c r="H778" s="37" t="str">
        <x:f>IF(OR(B778="",$I$6&lt;&gt;"Complete"),"",SUMIFS($E$32:$E$51,$C$32:$C$51,B778,$I$32:$I$51,"Ready"))</x:f>
      </x:c>
      <x:c r="I778" s="37" t="str">
        <x:f>IF(OR(B778="",$I$6&lt;&gt;"Complete"),"",I777+E778+G778-H778)</x:f>
      </x:c>
      <x:c r="J778" s="37" t="str">
        <x:f>IF(OR(B778="",$I$6&lt;&gt;"Complete"),"",'Inputs'!$C$49)</x:f>
      </x:c>
      <x:c r="K778" s="37" t="str">
        <x:f>IF(OR(B778="",$I$6&lt;&gt;"Complete"),"",I778-J778)</x:f>
      </x:c>
      <x:c r="L778" s="61" t="str">
        <x:f>IF(OR(B778="",$I$6&lt;&gt;"Complete"),"",IF(K778&lt;0,1,0))</x:f>
      </x:c>
    </x:row>
    <x:row r="779" ht="23" customHeight="1">
      <x:c r="A779" s="2"/>
      <x:c r="B779" s="60" t="str">
        <x:f>IF($D$6&lt;&gt;"Complete","",IF('Inputs'!$C$47+709&lt;=$D$9,'Inputs'!$C$47+709,""))</x:f>
      </x:c>
      <x:c r="C779" s="37" t="str">
        <x:f>IF(B779="","",SUMIFS($D$14:$D$23,$C$14:$C$23,B779))</x:f>
      </x:c>
      <x:c r="D779" s="37" t="str">
        <x:f>IF(B779="","",SUMIFS($E$14:$E$23,$C$14:$C$23,B779))</x:f>
      </x:c>
      <x:c r="E779" s="37" t="str">
        <x:f>IF(B779="","",C779-D779)</x:f>
      </x:c>
      <x:c r="F779" s="37" t="str">
        <x:f>IF(B779="","",F778+E779)</x:f>
      </x:c>
      <x:c r="G779" s="37" t="str">
        <x:f>IF(OR(B779="",$I$6&lt;&gt;"Complete"),"",SUMIFS($D$32:$D$51,$C$32:$C$51,B779,$I$32:$I$51,"Ready"))</x:f>
      </x:c>
      <x:c r="H779" s="37" t="str">
        <x:f>IF(OR(B779="",$I$6&lt;&gt;"Complete"),"",SUMIFS($E$32:$E$51,$C$32:$C$51,B779,$I$32:$I$51,"Ready"))</x:f>
      </x:c>
      <x:c r="I779" s="37" t="str">
        <x:f>IF(OR(B779="",$I$6&lt;&gt;"Complete"),"",I778+E779+G779-H779)</x:f>
      </x:c>
      <x:c r="J779" s="37" t="str">
        <x:f>IF(OR(B779="",$I$6&lt;&gt;"Complete"),"",'Inputs'!$C$49)</x:f>
      </x:c>
      <x:c r="K779" s="37" t="str">
        <x:f>IF(OR(B779="",$I$6&lt;&gt;"Complete"),"",I779-J779)</x:f>
      </x:c>
      <x:c r="L779" s="61" t="str">
        <x:f>IF(OR(B779="",$I$6&lt;&gt;"Complete"),"",IF(K779&lt;0,1,0))</x:f>
      </x:c>
    </x:row>
    <x:row r="780" ht="23" customHeight="1">
      <x:c r="A780" s="2"/>
      <x:c r="B780" s="60" t="str">
        <x:f>IF($D$6&lt;&gt;"Complete","",IF('Inputs'!$C$47+710&lt;=$D$9,'Inputs'!$C$47+710,""))</x:f>
      </x:c>
      <x:c r="C780" s="37" t="str">
        <x:f>IF(B780="","",SUMIFS($D$14:$D$23,$C$14:$C$23,B780))</x:f>
      </x:c>
      <x:c r="D780" s="37" t="str">
        <x:f>IF(B780="","",SUMIFS($E$14:$E$23,$C$14:$C$23,B780))</x:f>
      </x:c>
      <x:c r="E780" s="37" t="str">
        <x:f>IF(B780="","",C780-D780)</x:f>
      </x:c>
      <x:c r="F780" s="37" t="str">
        <x:f>IF(B780="","",F779+E780)</x:f>
      </x:c>
      <x:c r="G780" s="37" t="str">
        <x:f>IF(OR(B780="",$I$6&lt;&gt;"Complete"),"",SUMIFS($D$32:$D$51,$C$32:$C$51,B780,$I$32:$I$51,"Ready"))</x:f>
      </x:c>
      <x:c r="H780" s="37" t="str">
        <x:f>IF(OR(B780="",$I$6&lt;&gt;"Complete"),"",SUMIFS($E$32:$E$51,$C$32:$C$51,B780,$I$32:$I$51,"Ready"))</x:f>
      </x:c>
      <x:c r="I780" s="37" t="str">
        <x:f>IF(OR(B780="",$I$6&lt;&gt;"Complete"),"",I779+E780+G780-H780)</x:f>
      </x:c>
      <x:c r="J780" s="37" t="str">
        <x:f>IF(OR(B780="",$I$6&lt;&gt;"Complete"),"",'Inputs'!$C$49)</x:f>
      </x:c>
      <x:c r="K780" s="37" t="str">
        <x:f>IF(OR(B780="",$I$6&lt;&gt;"Complete"),"",I780-J780)</x:f>
      </x:c>
      <x:c r="L780" s="61" t="str">
        <x:f>IF(OR(B780="",$I$6&lt;&gt;"Complete"),"",IF(K780&lt;0,1,0))</x:f>
      </x:c>
    </x:row>
    <x:row r="781" ht="23" customHeight="1">
      <x:c r="A781" s="2"/>
      <x:c r="B781" s="60" t="str">
        <x:f>IF($D$6&lt;&gt;"Complete","",IF('Inputs'!$C$47+711&lt;=$D$9,'Inputs'!$C$47+711,""))</x:f>
      </x:c>
      <x:c r="C781" s="37" t="str">
        <x:f>IF(B781="","",SUMIFS($D$14:$D$23,$C$14:$C$23,B781))</x:f>
      </x:c>
      <x:c r="D781" s="37" t="str">
        <x:f>IF(B781="","",SUMIFS($E$14:$E$23,$C$14:$C$23,B781))</x:f>
      </x:c>
      <x:c r="E781" s="37" t="str">
        <x:f>IF(B781="","",C781-D781)</x:f>
      </x:c>
      <x:c r="F781" s="37" t="str">
        <x:f>IF(B781="","",F780+E781)</x:f>
      </x:c>
      <x:c r="G781" s="37" t="str">
        <x:f>IF(OR(B781="",$I$6&lt;&gt;"Complete"),"",SUMIFS($D$32:$D$51,$C$32:$C$51,B781,$I$32:$I$51,"Ready"))</x:f>
      </x:c>
      <x:c r="H781" s="37" t="str">
        <x:f>IF(OR(B781="",$I$6&lt;&gt;"Complete"),"",SUMIFS($E$32:$E$51,$C$32:$C$51,B781,$I$32:$I$51,"Ready"))</x:f>
      </x:c>
      <x:c r="I781" s="37" t="str">
        <x:f>IF(OR(B781="",$I$6&lt;&gt;"Complete"),"",I780+E781+G781-H781)</x:f>
      </x:c>
      <x:c r="J781" s="37" t="str">
        <x:f>IF(OR(B781="",$I$6&lt;&gt;"Complete"),"",'Inputs'!$C$49)</x:f>
      </x:c>
      <x:c r="K781" s="37" t="str">
        <x:f>IF(OR(B781="",$I$6&lt;&gt;"Complete"),"",I781-J781)</x:f>
      </x:c>
      <x:c r="L781" s="61" t="str">
        <x:f>IF(OR(B781="",$I$6&lt;&gt;"Complete"),"",IF(K781&lt;0,1,0))</x:f>
      </x:c>
    </x:row>
    <x:row r="782" ht="23" customHeight="1">
      <x:c r="A782" s="2"/>
      <x:c r="B782" s="60" t="str">
        <x:f>IF($D$6&lt;&gt;"Complete","",IF('Inputs'!$C$47+712&lt;=$D$9,'Inputs'!$C$47+712,""))</x:f>
      </x:c>
      <x:c r="C782" s="37" t="str">
        <x:f>IF(B782="","",SUMIFS($D$14:$D$23,$C$14:$C$23,B782))</x:f>
      </x:c>
      <x:c r="D782" s="37" t="str">
        <x:f>IF(B782="","",SUMIFS($E$14:$E$23,$C$14:$C$23,B782))</x:f>
      </x:c>
      <x:c r="E782" s="37" t="str">
        <x:f>IF(B782="","",C782-D782)</x:f>
      </x:c>
      <x:c r="F782" s="37" t="str">
        <x:f>IF(B782="","",F781+E782)</x:f>
      </x:c>
      <x:c r="G782" s="37" t="str">
        <x:f>IF(OR(B782="",$I$6&lt;&gt;"Complete"),"",SUMIFS($D$32:$D$51,$C$32:$C$51,B782,$I$32:$I$51,"Ready"))</x:f>
      </x:c>
      <x:c r="H782" s="37" t="str">
        <x:f>IF(OR(B782="",$I$6&lt;&gt;"Complete"),"",SUMIFS($E$32:$E$51,$C$32:$C$51,B782,$I$32:$I$51,"Ready"))</x:f>
      </x:c>
      <x:c r="I782" s="37" t="str">
        <x:f>IF(OR(B782="",$I$6&lt;&gt;"Complete"),"",I781+E782+G782-H782)</x:f>
      </x:c>
      <x:c r="J782" s="37" t="str">
        <x:f>IF(OR(B782="",$I$6&lt;&gt;"Complete"),"",'Inputs'!$C$49)</x:f>
      </x:c>
      <x:c r="K782" s="37" t="str">
        <x:f>IF(OR(B782="",$I$6&lt;&gt;"Complete"),"",I782-J782)</x:f>
      </x:c>
      <x:c r="L782" s="61" t="str">
        <x:f>IF(OR(B782="",$I$6&lt;&gt;"Complete"),"",IF(K782&lt;0,1,0))</x:f>
      </x:c>
    </x:row>
    <x:row r="783" ht="23" customHeight="1">
      <x:c r="A783" s="2"/>
      <x:c r="B783" s="60" t="str">
        <x:f>IF($D$6&lt;&gt;"Complete","",IF('Inputs'!$C$47+713&lt;=$D$9,'Inputs'!$C$47+713,""))</x:f>
      </x:c>
      <x:c r="C783" s="37" t="str">
        <x:f>IF(B783="","",SUMIFS($D$14:$D$23,$C$14:$C$23,B783))</x:f>
      </x:c>
      <x:c r="D783" s="37" t="str">
        <x:f>IF(B783="","",SUMIFS($E$14:$E$23,$C$14:$C$23,B783))</x:f>
      </x:c>
      <x:c r="E783" s="37" t="str">
        <x:f>IF(B783="","",C783-D783)</x:f>
      </x:c>
      <x:c r="F783" s="37" t="str">
        <x:f>IF(B783="","",F782+E783)</x:f>
      </x:c>
      <x:c r="G783" s="37" t="str">
        <x:f>IF(OR(B783="",$I$6&lt;&gt;"Complete"),"",SUMIFS($D$32:$D$51,$C$32:$C$51,B783,$I$32:$I$51,"Ready"))</x:f>
      </x:c>
      <x:c r="H783" s="37" t="str">
        <x:f>IF(OR(B783="",$I$6&lt;&gt;"Complete"),"",SUMIFS($E$32:$E$51,$C$32:$C$51,B783,$I$32:$I$51,"Ready"))</x:f>
      </x:c>
      <x:c r="I783" s="37" t="str">
        <x:f>IF(OR(B783="",$I$6&lt;&gt;"Complete"),"",I782+E783+G783-H783)</x:f>
      </x:c>
      <x:c r="J783" s="37" t="str">
        <x:f>IF(OR(B783="",$I$6&lt;&gt;"Complete"),"",'Inputs'!$C$49)</x:f>
      </x:c>
      <x:c r="K783" s="37" t="str">
        <x:f>IF(OR(B783="",$I$6&lt;&gt;"Complete"),"",I783-J783)</x:f>
      </x:c>
      <x:c r="L783" s="61" t="str">
        <x:f>IF(OR(B783="",$I$6&lt;&gt;"Complete"),"",IF(K783&lt;0,1,0))</x:f>
      </x:c>
    </x:row>
    <x:row r="784" ht="23" customHeight="1">
      <x:c r="A784" s="2"/>
      <x:c r="B784" s="60" t="str">
        <x:f>IF($D$6&lt;&gt;"Complete","",IF('Inputs'!$C$47+714&lt;=$D$9,'Inputs'!$C$47+714,""))</x:f>
      </x:c>
      <x:c r="C784" s="37" t="str">
        <x:f>IF(B784="","",SUMIFS($D$14:$D$23,$C$14:$C$23,B784))</x:f>
      </x:c>
      <x:c r="D784" s="37" t="str">
        <x:f>IF(B784="","",SUMIFS($E$14:$E$23,$C$14:$C$23,B784))</x:f>
      </x:c>
      <x:c r="E784" s="37" t="str">
        <x:f>IF(B784="","",C784-D784)</x:f>
      </x:c>
      <x:c r="F784" s="37" t="str">
        <x:f>IF(B784="","",F783+E784)</x:f>
      </x:c>
      <x:c r="G784" s="37" t="str">
        <x:f>IF(OR(B784="",$I$6&lt;&gt;"Complete"),"",SUMIFS($D$32:$D$51,$C$32:$C$51,B784,$I$32:$I$51,"Ready"))</x:f>
      </x:c>
      <x:c r="H784" s="37" t="str">
        <x:f>IF(OR(B784="",$I$6&lt;&gt;"Complete"),"",SUMIFS($E$32:$E$51,$C$32:$C$51,B784,$I$32:$I$51,"Ready"))</x:f>
      </x:c>
      <x:c r="I784" s="37" t="str">
        <x:f>IF(OR(B784="",$I$6&lt;&gt;"Complete"),"",I783+E784+G784-H784)</x:f>
      </x:c>
      <x:c r="J784" s="37" t="str">
        <x:f>IF(OR(B784="",$I$6&lt;&gt;"Complete"),"",'Inputs'!$C$49)</x:f>
      </x:c>
      <x:c r="K784" s="37" t="str">
        <x:f>IF(OR(B784="",$I$6&lt;&gt;"Complete"),"",I784-J784)</x:f>
      </x:c>
      <x:c r="L784" s="61" t="str">
        <x:f>IF(OR(B784="",$I$6&lt;&gt;"Complete"),"",IF(K784&lt;0,1,0))</x:f>
      </x:c>
    </x:row>
    <x:row r="785" ht="23" customHeight="1">
      <x:c r="A785" s="2"/>
      <x:c r="B785" s="60" t="str">
        <x:f>IF($D$6&lt;&gt;"Complete","",IF('Inputs'!$C$47+715&lt;=$D$9,'Inputs'!$C$47+715,""))</x:f>
      </x:c>
      <x:c r="C785" s="37" t="str">
        <x:f>IF(B785="","",SUMIFS($D$14:$D$23,$C$14:$C$23,B785))</x:f>
      </x:c>
      <x:c r="D785" s="37" t="str">
        <x:f>IF(B785="","",SUMIFS($E$14:$E$23,$C$14:$C$23,B785))</x:f>
      </x:c>
      <x:c r="E785" s="37" t="str">
        <x:f>IF(B785="","",C785-D785)</x:f>
      </x:c>
      <x:c r="F785" s="37" t="str">
        <x:f>IF(B785="","",F784+E785)</x:f>
      </x:c>
      <x:c r="G785" s="37" t="str">
        <x:f>IF(OR(B785="",$I$6&lt;&gt;"Complete"),"",SUMIFS($D$32:$D$51,$C$32:$C$51,B785,$I$32:$I$51,"Ready"))</x:f>
      </x:c>
      <x:c r="H785" s="37" t="str">
        <x:f>IF(OR(B785="",$I$6&lt;&gt;"Complete"),"",SUMIFS($E$32:$E$51,$C$32:$C$51,B785,$I$32:$I$51,"Ready"))</x:f>
      </x:c>
      <x:c r="I785" s="37" t="str">
        <x:f>IF(OR(B785="",$I$6&lt;&gt;"Complete"),"",I784+E785+G785-H785)</x:f>
      </x:c>
      <x:c r="J785" s="37" t="str">
        <x:f>IF(OR(B785="",$I$6&lt;&gt;"Complete"),"",'Inputs'!$C$49)</x:f>
      </x:c>
      <x:c r="K785" s="37" t="str">
        <x:f>IF(OR(B785="",$I$6&lt;&gt;"Complete"),"",I785-J785)</x:f>
      </x:c>
      <x:c r="L785" s="61" t="str">
        <x:f>IF(OR(B785="",$I$6&lt;&gt;"Complete"),"",IF(K785&lt;0,1,0))</x:f>
      </x:c>
    </x:row>
    <x:row r="786" ht="23" customHeight="1">
      <x:c r="A786" s="2"/>
      <x:c r="B786" s="60" t="str">
        <x:f>IF($D$6&lt;&gt;"Complete","",IF('Inputs'!$C$47+716&lt;=$D$9,'Inputs'!$C$47+716,""))</x:f>
      </x:c>
      <x:c r="C786" s="37" t="str">
        <x:f>IF(B786="","",SUMIFS($D$14:$D$23,$C$14:$C$23,B786))</x:f>
      </x:c>
      <x:c r="D786" s="37" t="str">
        <x:f>IF(B786="","",SUMIFS($E$14:$E$23,$C$14:$C$23,B786))</x:f>
      </x:c>
      <x:c r="E786" s="37" t="str">
        <x:f>IF(B786="","",C786-D786)</x:f>
      </x:c>
      <x:c r="F786" s="37" t="str">
        <x:f>IF(B786="","",F785+E786)</x:f>
      </x:c>
      <x:c r="G786" s="37" t="str">
        <x:f>IF(OR(B786="",$I$6&lt;&gt;"Complete"),"",SUMIFS($D$32:$D$51,$C$32:$C$51,B786,$I$32:$I$51,"Ready"))</x:f>
      </x:c>
      <x:c r="H786" s="37" t="str">
        <x:f>IF(OR(B786="",$I$6&lt;&gt;"Complete"),"",SUMIFS($E$32:$E$51,$C$32:$C$51,B786,$I$32:$I$51,"Ready"))</x:f>
      </x:c>
      <x:c r="I786" s="37" t="str">
        <x:f>IF(OR(B786="",$I$6&lt;&gt;"Complete"),"",I785+E786+G786-H786)</x:f>
      </x:c>
      <x:c r="J786" s="37" t="str">
        <x:f>IF(OR(B786="",$I$6&lt;&gt;"Complete"),"",'Inputs'!$C$49)</x:f>
      </x:c>
      <x:c r="K786" s="37" t="str">
        <x:f>IF(OR(B786="",$I$6&lt;&gt;"Complete"),"",I786-J786)</x:f>
      </x:c>
      <x:c r="L786" s="61" t="str">
        <x:f>IF(OR(B786="",$I$6&lt;&gt;"Complete"),"",IF(K786&lt;0,1,0))</x:f>
      </x:c>
    </x:row>
    <x:row r="787" ht="23" customHeight="1">
      <x:c r="A787" s="2"/>
      <x:c r="B787" s="60" t="str">
        <x:f>IF($D$6&lt;&gt;"Complete","",IF('Inputs'!$C$47+717&lt;=$D$9,'Inputs'!$C$47+717,""))</x:f>
      </x:c>
      <x:c r="C787" s="37" t="str">
        <x:f>IF(B787="","",SUMIFS($D$14:$D$23,$C$14:$C$23,B787))</x:f>
      </x:c>
      <x:c r="D787" s="37" t="str">
        <x:f>IF(B787="","",SUMIFS($E$14:$E$23,$C$14:$C$23,B787))</x:f>
      </x:c>
      <x:c r="E787" s="37" t="str">
        <x:f>IF(B787="","",C787-D787)</x:f>
      </x:c>
      <x:c r="F787" s="37" t="str">
        <x:f>IF(B787="","",F786+E787)</x:f>
      </x:c>
      <x:c r="G787" s="37" t="str">
        <x:f>IF(OR(B787="",$I$6&lt;&gt;"Complete"),"",SUMIFS($D$32:$D$51,$C$32:$C$51,B787,$I$32:$I$51,"Ready"))</x:f>
      </x:c>
      <x:c r="H787" s="37" t="str">
        <x:f>IF(OR(B787="",$I$6&lt;&gt;"Complete"),"",SUMIFS($E$32:$E$51,$C$32:$C$51,B787,$I$32:$I$51,"Ready"))</x:f>
      </x:c>
      <x:c r="I787" s="37" t="str">
        <x:f>IF(OR(B787="",$I$6&lt;&gt;"Complete"),"",I786+E787+G787-H787)</x:f>
      </x:c>
      <x:c r="J787" s="37" t="str">
        <x:f>IF(OR(B787="",$I$6&lt;&gt;"Complete"),"",'Inputs'!$C$49)</x:f>
      </x:c>
      <x:c r="K787" s="37" t="str">
        <x:f>IF(OR(B787="",$I$6&lt;&gt;"Complete"),"",I787-J787)</x:f>
      </x:c>
      <x:c r="L787" s="61" t="str">
        <x:f>IF(OR(B787="",$I$6&lt;&gt;"Complete"),"",IF(K787&lt;0,1,0))</x:f>
      </x:c>
    </x:row>
    <x:row r="788" ht="23" customHeight="1">
      <x:c r="A788" s="2"/>
      <x:c r="B788" s="60" t="str">
        <x:f>IF($D$6&lt;&gt;"Complete","",IF('Inputs'!$C$47+718&lt;=$D$9,'Inputs'!$C$47+718,""))</x:f>
      </x:c>
      <x:c r="C788" s="37" t="str">
        <x:f>IF(B788="","",SUMIFS($D$14:$D$23,$C$14:$C$23,B788))</x:f>
      </x:c>
      <x:c r="D788" s="37" t="str">
        <x:f>IF(B788="","",SUMIFS($E$14:$E$23,$C$14:$C$23,B788))</x:f>
      </x:c>
      <x:c r="E788" s="37" t="str">
        <x:f>IF(B788="","",C788-D788)</x:f>
      </x:c>
      <x:c r="F788" s="37" t="str">
        <x:f>IF(B788="","",F787+E788)</x:f>
      </x:c>
      <x:c r="G788" s="37" t="str">
        <x:f>IF(OR(B788="",$I$6&lt;&gt;"Complete"),"",SUMIFS($D$32:$D$51,$C$32:$C$51,B788,$I$32:$I$51,"Ready"))</x:f>
      </x:c>
      <x:c r="H788" s="37" t="str">
        <x:f>IF(OR(B788="",$I$6&lt;&gt;"Complete"),"",SUMIFS($E$32:$E$51,$C$32:$C$51,B788,$I$32:$I$51,"Ready"))</x:f>
      </x:c>
      <x:c r="I788" s="37" t="str">
        <x:f>IF(OR(B788="",$I$6&lt;&gt;"Complete"),"",I787+E788+G788-H788)</x:f>
      </x:c>
      <x:c r="J788" s="37" t="str">
        <x:f>IF(OR(B788="",$I$6&lt;&gt;"Complete"),"",'Inputs'!$C$49)</x:f>
      </x:c>
      <x:c r="K788" s="37" t="str">
        <x:f>IF(OR(B788="",$I$6&lt;&gt;"Complete"),"",I788-J788)</x:f>
      </x:c>
      <x:c r="L788" s="61" t="str">
        <x:f>IF(OR(B788="",$I$6&lt;&gt;"Complete"),"",IF(K788&lt;0,1,0))</x:f>
      </x:c>
    </x:row>
    <x:row r="789" ht="23" customHeight="1">
      <x:c r="A789" s="2"/>
      <x:c r="B789" s="60" t="str">
        <x:f>IF($D$6&lt;&gt;"Complete","",IF('Inputs'!$C$47+719&lt;=$D$9,'Inputs'!$C$47+719,""))</x:f>
      </x:c>
      <x:c r="C789" s="37" t="str">
        <x:f>IF(B789="","",SUMIFS($D$14:$D$23,$C$14:$C$23,B789))</x:f>
      </x:c>
      <x:c r="D789" s="37" t="str">
        <x:f>IF(B789="","",SUMIFS($E$14:$E$23,$C$14:$C$23,B789))</x:f>
      </x:c>
      <x:c r="E789" s="37" t="str">
        <x:f>IF(B789="","",C789-D789)</x:f>
      </x:c>
      <x:c r="F789" s="37" t="str">
        <x:f>IF(B789="","",F788+E789)</x:f>
      </x:c>
      <x:c r="G789" s="37" t="str">
        <x:f>IF(OR(B789="",$I$6&lt;&gt;"Complete"),"",SUMIFS($D$32:$D$51,$C$32:$C$51,B789,$I$32:$I$51,"Ready"))</x:f>
      </x:c>
      <x:c r="H789" s="37" t="str">
        <x:f>IF(OR(B789="",$I$6&lt;&gt;"Complete"),"",SUMIFS($E$32:$E$51,$C$32:$C$51,B789,$I$32:$I$51,"Ready"))</x:f>
      </x:c>
      <x:c r="I789" s="37" t="str">
        <x:f>IF(OR(B789="",$I$6&lt;&gt;"Complete"),"",I788+E789+G789-H789)</x:f>
      </x:c>
      <x:c r="J789" s="37" t="str">
        <x:f>IF(OR(B789="",$I$6&lt;&gt;"Complete"),"",'Inputs'!$C$49)</x:f>
      </x:c>
      <x:c r="K789" s="37" t="str">
        <x:f>IF(OR(B789="",$I$6&lt;&gt;"Complete"),"",I789-J789)</x:f>
      </x:c>
      <x:c r="L789" s="61" t="str">
        <x:f>IF(OR(B789="",$I$6&lt;&gt;"Complete"),"",IF(K789&lt;0,1,0))</x:f>
      </x:c>
    </x:row>
    <x:row r="790" ht="23" customHeight="1">
      <x:c r="A790" s="2"/>
      <x:c r="B790" s="60" t="str">
        <x:f>IF($D$6&lt;&gt;"Complete","",IF('Inputs'!$C$47+720&lt;=$D$9,'Inputs'!$C$47+720,""))</x:f>
      </x:c>
      <x:c r="C790" s="37" t="str">
        <x:f>IF(B790="","",SUMIFS($D$14:$D$23,$C$14:$C$23,B790))</x:f>
      </x:c>
      <x:c r="D790" s="37" t="str">
        <x:f>IF(B790="","",SUMIFS($E$14:$E$23,$C$14:$C$23,B790))</x:f>
      </x:c>
      <x:c r="E790" s="37" t="str">
        <x:f>IF(B790="","",C790-D790)</x:f>
      </x:c>
      <x:c r="F790" s="37" t="str">
        <x:f>IF(B790="","",F789+E790)</x:f>
      </x:c>
      <x:c r="G790" s="37" t="str">
        <x:f>IF(OR(B790="",$I$6&lt;&gt;"Complete"),"",SUMIFS($D$32:$D$51,$C$32:$C$51,B790,$I$32:$I$51,"Ready"))</x:f>
      </x:c>
      <x:c r="H790" s="37" t="str">
        <x:f>IF(OR(B790="",$I$6&lt;&gt;"Complete"),"",SUMIFS($E$32:$E$51,$C$32:$C$51,B790,$I$32:$I$51,"Ready"))</x:f>
      </x:c>
      <x:c r="I790" s="37" t="str">
        <x:f>IF(OR(B790="",$I$6&lt;&gt;"Complete"),"",I789+E790+G790-H790)</x:f>
      </x:c>
      <x:c r="J790" s="37" t="str">
        <x:f>IF(OR(B790="",$I$6&lt;&gt;"Complete"),"",'Inputs'!$C$49)</x:f>
      </x:c>
      <x:c r="K790" s="37" t="str">
        <x:f>IF(OR(B790="",$I$6&lt;&gt;"Complete"),"",I790-J790)</x:f>
      </x:c>
      <x:c r="L790" s="61" t="str">
        <x:f>IF(OR(B790="",$I$6&lt;&gt;"Complete"),"",IF(K790&lt;0,1,0))</x:f>
      </x:c>
    </x:row>
    <x:row r="791" ht="23" customHeight="1">
      <x:c r="A791" s="2"/>
      <x:c r="B791" s="60" t="str">
        <x:f>IF($D$6&lt;&gt;"Complete","",IF('Inputs'!$C$47+721&lt;=$D$9,'Inputs'!$C$47+721,""))</x:f>
      </x:c>
      <x:c r="C791" s="37" t="str">
        <x:f>IF(B791="","",SUMIFS($D$14:$D$23,$C$14:$C$23,B791))</x:f>
      </x:c>
      <x:c r="D791" s="37" t="str">
        <x:f>IF(B791="","",SUMIFS($E$14:$E$23,$C$14:$C$23,B791))</x:f>
      </x:c>
      <x:c r="E791" s="37" t="str">
        <x:f>IF(B791="","",C791-D791)</x:f>
      </x:c>
      <x:c r="F791" s="37" t="str">
        <x:f>IF(B791="","",F790+E791)</x:f>
      </x:c>
      <x:c r="G791" s="37" t="str">
        <x:f>IF(OR(B791="",$I$6&lt;&gt;"Complete"),"",SUMIFS($D$32:$D$51,$C$32:$C$51,B791,$I$32:$I$51,"Ready"))</x:f>
      </x:c>
      <x:c r="H791" s="37" t="str">
        <x:f>IF(OR(B791="",$I$6&lt;&gt;"Complete"),"",SUMIFS($E$32:$E$51,$C$32:$C$51,B791,$I$32:$I$51,"Ready"))</x:f>
      </x:c>
      <x:c r="I791" s="37" t="str">
        <x:f>IF(OR(B791="",$I$6&lt;&gt;"Complete"),"",I790+E791+G791-H791)</x:f>
      </x:c>
      <x:c r="J791" s="37" t="str">
        <x:f>IF(OR(B791="",$I$6&lt;&gt;"Complete"),"",'Inputs'!$C$49)</x:f>
      </x:c>
      <x:c r="K791" s="37" t="str">
        <x:f>IF(OR(B791="",$I$6&lt;&gt;"Complete"),"",I791-J791)</x:f>
      </x:c>
      <x:c r="L791" s="61" t="str">
        <x:f>IF(OR(B791="",$I$6&lt;&gt;"Complete"),"",IF(K791&lt;0,1,0))</x:f>
      </x:c>
    </x:row>
    <x:row r="792" ht="23" customHeight="1">
      <x:c r="A792" s="2"/>
      <x:c r="B792" s="60" t="str">
        <x:f>IF($D$6&lt;&gt;"Complete","",IF('Inputs'!$C$47+722&lt;=$D$9,'Inputs'!$C$47+722,""))</x:f>
      </x:c>
      <x:c r="C792" s="37" t="str">
        <x:f>IF(B792="","",SUMIFS($D$14:$D$23,$C$14:$C$23,B792))</x:f>
      </x:c>
      <x:c r="D792" s="37" t="str">
        <x:f>IF(B792="","",SUMIFS($E$14:$E$23,$C$14:$C$23,B792))</x:f>
      </x:c>
      <x:c r="E792" s="37" t="str">
        <x:f>IF(B792="","",C792-D792)</x:f>
      </x:c>
      <x:c r="F792" s="37" t="str">
        <x:f>IF(B792="","",F791+E792)</x:f>
      </x:c>
      <x:c r="G792" s="37" t="str">
        <x:f>IF(OR(B792="",$I$6&lt;&gt;"Complete"),"",SUMIFS($D$32:$D$51,$C$32:$C$51,B792,$I$32:$I$51,"Ready"))</x:f>
      </x:c>
      <x:c r="H792" s="37" t="str">
        <x:f>IF(OR(B792="",$I$6&lt;&gt;"Complete"),"",SUMIFS($E$32:$E$51,$C$32:$C$51,B792,$I$32:$I$51,"Ready"))</x:f>
      </x:c>
      <x:c r="I792" s="37" t="str">
        <x:f>IF(OR(B792="",$I$6&lt;&gt;"Complete"),"",I791+E792+G792-H792)</x:f>
      </x:c>
      <x:c r="J792" s="37" t="str">
        <x:f>IF(OR(B792="",$I$6&lt;&gt;"Complete"),"",'Inputs'!$C$49)</x:f>
      </x:c>
      <x:c r="K792" s="37" t="str">
        <x:f>IF(OR(B792="",$I$6&lt;&gt;"Complete"),"",I792-J792)</x:f>
      </x:c>
      <x:c r="L792" s="61" t="str">
        <x:f>IF(OR(B792="",$I$6&lt;&gt;"Complete"),"",IF(K792&lt;0,1,0))</x:f>
      </x:c>
    </x:row>
    <x:row r="793" ht="23" customHeight="1">
      <x:c r="A793" s="2"/>
      <x:c r="B793" s="60" t="str">
        <x:f>IF($D$6&lt;&gt;"Complete","",IF('Inputs'!$C$47+723&lt;=$D$9,'Inputs'!$C$47+723,""))</x:f>
      </x:c>
      <x:c r="C793" s="37" t="str">
        <x:f>IF(B793="","",SUMIFS($D$14:$D$23,$C$14:$C$23,B793))</x:f>
      </x:c>
      <x:c r="D793" s="37" t="str">
        <x:f>IF(B793="","",SUMIFS($E$14:$E$23,$C$14:$C$23,B793))</x:f>
      </x:c>
      <x:c r="E793" s="37" t="str">
        <x:f>IF(B793="","",C793-D793)</x:f>
      </x:c>
      <x:c r="F793" s="37" t="str">
        <x:f>IF(B793="","",F792+E793)</x:f>
      </x:c>
      <x:c r="G793" s="37" t="str">
        <x:f>IF(OR(B793="",$I$6&lt;&gt;"Complete"),"",SUMIFS($D$32:$D$51,$C$32:$C$51,B793,$I$32:$I$51,"Ready"))</x:f>
      </x:c>
      <x:c r="H793" s="37" t="str">
        <x:f>IF(OR(B793="",$I$6&lt;&gt;"Complete"),"",SUMIFS($E$32:$E$51,$C$32:$C$51,B793,$I$32:$I$51,"Ready"))</x:f>
      </x:c>
      <x:c r="I793" s="37" t="str">
        <x:f>IF(OR(B793="",$I$6&lt;&gt;"Complete"),"",I792+E793+G793-H793)</x:f>
      </x:c>
      <x:c r="J793" s="37" t="str">
        <x:f>IF(OR(B793="",$I$6&lt;&gt;"Complete"),"",'Inputs'!$C$49)</x:f>
      </x:c>
      <x:c r="K793" s="37" t="str">
        <x:f>IF(OR(B793="",$I$6&lt;&gt;"Complete"),"",I793-J793)</x:f>
      </x:c>
      <x:c r="L793" s="61" t="str">
        <x:f>IF(OR(B793="",$I$6&lt;&gt;"Complete"),"",IF(K793&lt;0,1,0))</x:f>
      </x:c>
    </x:row>
    <x:row r="794" ht="23" customHeight="1">
      <x:c r="A794" s="2"/>
      <x:c r="B794" s="60" t="str">
        <x:f>IF($D$6&lt;&gt;"Complete","",IF('Inputs'!$C$47+724&lt;=$D$9,'Inputs'!$C$47+724,""))</x:f>
      </x:c>
      <x:c r="C794" s="37" t="str">
        <x:f>IF(B794="","",SUMIFS($D$14:$D$23,$C$14:$C$23,B794))</x:f>
      </x:c>
      <x:c r="D794" s="37" t="str">
        <x:f>IF(B794="","",SUMIFS($E$14:$E$23,$C$14:$C$23,B794))</x:f>
      </x:c>
      <x:c r="E794" s="37" t="str">
        <x:f>IF(B794="","",C794-D794)</x:f>
      </x:c>
      <x:c r="F794" s="37" t="str">
        <x:f>IF(B794="","",F793+E794)</x:f>
      </x:c>
      <x:c r="G794" s="37" t="str">
        <x:f>IF(OR(B794="",$I$6&lt;&gt;"Complete"),"",SUMIFS($D$32:$D$51,$C$32:$C$51,B794,$I$32:$I$51,"Ready"))</x:f>
      </x:c>
      <x:c r="H794" s="37" t="str">
        <x:f>IF(OR(B794="",$I$6&lt;&gt;"Complete"),"",SUMIFS($E$32:$E$51,$C$32:$C$51,B794,$I$32:$I$51,"Ready"))</x:f>
      </x:c>
      <x:c r="I794" s="37" t="str">
        <x:f>IF(OR(B794="",$I$6&lt;&gt;"Complete"),"",I793+E794+G794-H794)</x:f>
      </x:c>
      <x:c r="J794" s="37" t="str">
        <x:f>IF(OR(B794="",$I$6&lt;&gt;"Complete"),"",'Inputs'!$C$49)</x:f>
      </x:c>
      <x:c r="K794" s="37" t="str">
        <x:f>IF(OR(B794="",$I$6&lt;&gt;"Complete"),"",I794-J794)</x:f>
      </x:c>
      <x:c r="L794" s="61" t="str">
        <x:f>IF(OR(B794="",$I$6&lt;&gt;"Complete"),"",IF(K794&lt;0,1,0))</x:f>
      </x:c>
    </x:row>
    <x:row r="795" ht="23" customHeight="1">
      <x:c r="A795" s="2"/>
      <x:c r="B795" s="60" t="str">
        <x:f>IF($D$6&lt;&gt;"Complete","",IF('Inputs'!$C$47+725&lt;=$D$9,'Inputs'!$C$47+725,""))</x:f>
      </x:c>
      <x:c r="C795" s="37" t="str">
        <x:f>IF(B795="","",SUMIFS($D$14:$D$23,$C$14:$C$23,B795))</x:f>
      </x:c>
      <x:c r="D795" s="37" t="str">
        <x:f>IF(B795="","",SUMIFS($E$14:$E$23,$C$14:$C$23,B795))</x:f>
      </x:c>
      <x:c r="E795" s="37" t="str">
        <x:f>IF(B795="","",C795-D795)</x:f>
      </x:c>
      <x:c r="F795" s="37" t="str">
        <x:f>IF(B795="","",F794+E795)</x:f>
      </x:c>
      <x:c r="G795" s="37" t="str">
        <x:f>IF(OR(B795="",$I$6&lt;&gt;"Complete"),"",SUMIFS($D$32:$D$51,$C$32:$C$51,B795,$I$32:$I$51,"Ready"))</x:f>
      </x:c>
      <x:c r="H795" s="37" t="str">
        <x:f>IF(OR(B795="",$I$6&lt;&gt;"Complete"),"",SUMIFS($E$32:$E$51,$C$32:$C$51,B795,$I$32:$I$51,"Ready"))</x:f>
      </x:c>
      <x:c r="I795" s="37" t="str">
        <x:f>IF(OR(B795="",$I$6&lt;&gt;"Complete"),"",I794+E795+G795-H795)</x:f>
      </x:c>
      <x:c r="J795" s="37" t="str">
        <x:f>IF(OR(B795="",$I$6&lt;&gt;"Complete"),"",'Inputs'!$C$49)</x:f>
      </x:c>
      <x:c r="K795" s="37" t="str">
        <x:f>IF(OR(B795="",$I$6&lt;&gt;"Complete"),"",I795-J795)</x:f>
      </x:c>
      <x:c r="L795" s="61" t="str">
        <x:f>IF(OR(B795="",$I$6&lt;&gt;"Complete"),"",IF(K795&lt;0,1,0))</x:f>
      </x:c>
    </x:row>
    <x:row r="796" ht="23" customHeight="1">
      <x:c r="A796" s="2"/>
      <x:c r="B796" s="60" t="str">
        <x:f>IF($D$6&lt;&gt;"Complete","",IF('Inputs'!$C$47+726&lt;=$D$9,'Inputs'!$C$47+726,""))</x:f>
      </x:c>
      <x:c r="C796" s="37" t="str">
        <x:f>IF(B796="","",SUMIFS($D$14:$D$23,$C$14:$C$23,B796))</x:f>
      </x:c>
      <x:c r="D796" s="37" t="str">
        <x:f>IF(B796="","",SUMIFS($E$14:$E$23,$C$14:$C$23,B796))</x:f>
      </x:c>
      <x:c r="E796" s="37" t="str">
        <x:f>IF(B796="","",C796-D796)</x:f>
      </x:c>
      <x:c r="F796" s="37" t="str">
        <x:f>IF(B796="","",F795+E796)</x:f>
      </x:c>
      <x:c r="G796" s="37" t="str">
        <x:f>IF(OR(B796="",$I$6&lt;&gt;"Complete"),"",SUMIFS($D$32:$D$51,$C$32:$C$51,B796,$I$32:$I$51,"Ready"))</x:f>
      </x:c>
      <x:c r="H796" s="37" t="str">
        <x:f>IF(OR(B796="",$I$6&lt;&gt;"Complete"),"",SUMIFS($E$32:$E$51,$C$32:$C$51,B796,$I$32:$I$51,"Ready"))</x:f>
      </x:c>
      <x:c r="I796" s="37" t="str">
        <x:f>IF(OR(B796="",$I$6&lt;&gt;"Complete"),"",I795+E796+G796-H796)</x:f>
      </x:c>
      <x:c r="J796" s="37" t="str">
        <x:f>IF(OR(B796="",$I$6&lt;&gt;"Complete"),"",'Inputs'!$C$49)</x:f>
      </x:c>
      <x:c r="K796" s="37" t="str">
        <x:f>IF(OR(B796="",$I$6&lt;&gt;"Complete"),"",I796-J796)</x:f>
      </x:c>
      <x:c r="L796" s="61" t="str">
        <x:f>IF(OR(B796="",$I$6&lt;&gt;"Complete"),"",IF(K796&lt;0,1,0))</x:f>
      </x:c>
    </x:row>
    <x:row r="797" ht="23" customHeight="1">
      <x:c r="A797" s="2"/>
      <x:c r="B797" s="60" t="str">
        <x:f>IF($D$6&lt;&gt;"Complete","",IF('Inputs'!$C$47+727&lt;=$D$9,'Inputs'!$C$47+727,""))</x:f>
      </x:c>
      <x:c r="C797" s="37" t="str">
        <x:f>IF(B797="","",SUMIFS($D$14:$D$23,$C$14:$C$23,B797))</x:f>
      </x:c>
      <x:c r="D797" s="37" t="str">
        <x:f>IF(B797="","",SUMIFS($E$14:$E$23,$C$14:$C$23,B797))</x:f>
      </x:c>
      <x:c r="E797" s="37" t="str">
        <x:f>IF(B797="","",C797-D797)</x:f>
      </x:c>
      <x:c r="F797" s="37" t="str">
        <x:f>IF(B797="","",F796+E797)</x:f>
      </x:c>
      <x:c r="G797" s="37" t="str">
        <x:f>IF(OR(B797="",$I$6&lt;&gt;"Complete"),"",SUMIFS($D$32:$D$51,$C$32:$C$51,B797,$I$32:$I$51,"Ready"))</x:f>
      </x:c>
      <x:c r="H797" s="37" t="str">
        <x:f>IF(OR(B797="",$I$6&lt;&gt;"Complete"),"",SUMIFS($E$32:$E$51,$C$32:$C$51,B797,$I$32:$I$51,"Ready"))</x:f>
      </x:c>
      <x:c r="I797" s="37" t="str">
        <x:f>IF(OR(B797="",$I$6&lt;&gt;"Complete"),"",I796+E797+G797-H797)</x:f>
      </x:c>
      <x:c r="J797" s="37" t="str">
        <x:f>IF(OR(B797="",$I$6&lt;&gt;"Complete"),"",'Inputs'!$C$49)</x:f>
      </x:c>
      <x:c r="K797" s="37" t="str">
        <x:f>IF(OR(B797="",$I$6&lt;&gt;"Complete"),"",I797-J797)</x:f>
      </x:c>
      <x:c r="L797" s="61" t="str">
        <x:f>IF(OR(B797="",$I$6&lt;&gt;"Complete"),"",IF(K797&lt;0,1,0))</x:f>
      </x:c>
    </x:row>
    <x:row r="798" ht="23" customHeight="1">
      <x:c r="A798" s="2"/>
      <x:c r="B798" s="60" t="str">
        <x:f>IF($D$6&lt;&gt;"Complete","",IF('Inputs'!$C$47+728&lt;=$D$9,'Inputs'!$C$47+728,""))</x:f>
      </x:c>
      <x:c r="C798" s="37" t="str">
        <x:f>IF(B798="","",SUMIFS($D$14:$D$23,$C$14:$C$23,B798))</x:f>
      </x:c>
      <x:c r="D798" s="37" t="str">
        <x:f>IF(B798="","",SUMIFS($E$14:$E$23,$C$14:$C$23,B798))</x:f>
      </x:c>
      <x:c r="E798" s="37" t="str">
        <x:f>IF(B798="","",C798-D798)</x:f>
      </x:c>
      <x:c r="F798" s="37" t="str">
        <x:f>IF(B798="","",F797+E798)</x:f>
      </x:c>
      <x:c r="G798" s="37" t="str">
        <x:f>IF(OR(B798="",$I$6&lt;&gt;"Complete"),"",SUMIFS($D$32:$D$51,$C$32:$C$51,B798,$I$32:$I$51,"Ready"))</x:f>
      </x:c>
      <x:c r="H798" s="37" t="str">
        <x:f>IF(OR(B798="",$I$6&lt;&gt;"Complete"),"",SUMIFS($E$32:$E$51,$C$32:$C$51,B798,$I$32:$I$51,"Ready"))</x:f>
      </x:c>
      <x:c r="I798" s="37" t="str">
        <x:f>IF(OR(B798="",$I$6&lt;&gt;"Complete"),"",I797+E798+G798-H798)</x:f>
      </x:c>
      <x:c r="J798" s="37" t="str">
        <x:f>IF(OR(B798="",$I$6&lt;&gt;"Complete"),"",'Inputs'!$C$49)</x:f>
      </x:c>
      <x:c r="K798" s="37" t="str">
        <x:f>IF(OR(B798="",$I$6&lt;&gt;"Complete"),"",I798-J798)</x:f>
      </x:c>
      <x:c r="L798" s="61" t="str">
        <x:f>IF(OR(B798="",$I$6&lt;&gt;"Complete"),"",IF(K798&lt;0,1,0))</x:f>
      </x:c>
    </x:row>
    <x:row r="799" ht="23" customHeight="1">
      <x:c r="A799" s="2"/>
      <x:c r="B799" s="60" t="str">
        <x:f>IF($D$6&lt;&gt;"Complete","",IF('Inputs'!$C$47+729&lt;=$D$9,'Inputs'!$C$47+729,""))</x:f>
      </x:c>
      <x:c r="C799" s="37" t="str">
        <x:f>IF(B799="","",SUMIFS($D$14:$D$23,$C$14:$C$23,B799))</x:f>
      </x:c>
      <x:c r="D799" s="37" t="str">
        <x:f>IF(B799="","",SUMIFS($E$14:$E$23,$C$14:$C$23,B799))</x:f>
      </x:c>
      <x:c r="E799" s="37" t="str">
        <x:f>IF(B799="","",C799-D799)</x:f>
      </x:c>
      <x:c r="F799" s="37" t="str">
        <x:f>IF(B799="","",F798+E799)</x:f>
      </x:c>
      <x:c r="G799" s="37" t="str">
        <x:f>IF(OR(B799="",$I$6&lt;&gt;"Complete"),"",SUMIFS($D$32:$D$51,$C$32:$C$51,B799,$I$32:$I$51,"Ready"))</x:f>
      </x:c>
      <x:c r="H799" s="37" t="str">
        <x:f>IF(OR(B799="",$I$6&lt;&gt;"Complete"),"",SUMIFS($E$32:$E$51,$C$32:$C$51,B799,$I$32:$I$51,"Ready"))</x:f>
      </x:c>
      <x:c r="I799" s="37" t="str">
        <x:f>IF(OR(B799="",$I$6&lt;&gt;"Complete"),"",I798+E799+G799-H799)</x:f>
      </x:c>
      <x:c r="J799" s="37" t="str">
        <x:f>IF(OR(B799="",$I$6&lt;&gt;"Complete"),"",'Inputs'!$C$49)</x:f>
      </x:c>
      <x:c r="K799" s="37" t="str">
        <x:f>IF(OR(B799="",$I$6&lt;&gt;"Complete"),"",I799-J799)</x:f>
      </x:c>
      <x:c r="L799" s="61" t="str">
        <x:f>IF(OR(B799="",$I$6&lt;&gt;"Complete"),"",IF(K799&lt;0,1,0))</x:f>
      </x:c>
    </x:row>
    <x:row r="800" ht="23" customHeight="1">
      <x:c r="A800" s="2"/>
      <x:c r="B800" s="60" t="str">
        <x:f>IF($D$6&lt;&gt;"Complete","",IF('Inputs'!$C$47+730&lt;=$D$9,'Inputs'!$C$47+730,""))</x:f>
      </x:c>
      <x:c r="C800" s="37" t="str">
        <x:f>IF(B800="","",SUMIFS($D$14:$D$23,$C$14:$C$23,B800))</x:f>
      </x:c>
      <x:c r="D800" s="37" t="str">
        <x:f>IF(B800="","",SUMIFS($E$14:$E$23,$C$14:$C$23,B800))</x:f>
      </x:c>
      <x:c r="E800" s="37" t="str">
        <x:f>IF(B800="","",C800-D800)</x:f>
      </x:c>
      <x:c r="F800" s="37" t="str">
        <x:f>IF(B800="","",F799+E800)</x:f>
      </x:c>
      <x:c r="G800" s="37" t="str">
        <x:f>IF(OR(B800="",$I$6&lt;&gt;"Complete"),"",SUMIFS($D$32:$D$51,$C$32:$C$51,B800,$I$32:$I$51,"Ready"))</x:f>
      </x:c>
      <x:c r="H800" s="37" t="str">
        <x:f>IF(OR(B800="",$I$6&lt;&gt;"Complete"),"",SUMIFS($E$32:$E$51,$C$32:$C$51,B800,$I$32:$I$51,"Ready"))</x:f>
      </x:c>
      <x:c r="I800" s="37" t="str">
        <x:f>IF(OR(B800="",$I$6&lt;&gt;"Complete"),"",I799+E800+G800-H800)</x:f>
      </x:c>
      <x:c r="J800" s="37" t="str">
        <x:f>IF(OR(B800="",$I$6&lt;&gt;"Complete"),"",'Inputs'!$C$49)</x:f>
      </x:c>
      <x:c r="K800" s="37" t="str">
        <x:f>IF(OR(B800="",$I$6&lt;&gt;"Complete"),"",I800-J800)</x:f>
      </x:c>
      <x:c r="L800" s="61" t="str">
        <x:f>IF(OR(B800="",$I$6&lt;&gt;"Complete"),"",IF(K800&lt;0,1,0))</x:f>
      </x:c>
    </x:row>
    <x:row r="801" ht="23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</x:row>
    <x:row r="802" ht="23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</x:row>
  </x:sheetData>
  <x:conditionalFormatting sqref="K70:K800">
    <x:cfRule type="cellIs" dxfId="1" priority="1" operator="lessThan">
      <x:formula>0</x:formula>
    </x:cfRule>
  </x:conditionalFormatting>
  <x:conditionalFormatting sqref="I32:I51">
    <x:cfRule type="expression" dxfId="2" priority="2">
      <x:formula>AND(I32&lt;&gt;"Ready",I32&lt;&gt;"Unused",I32&lt;&gt;"Excluded duplicate")</x:formula>
    </x:cfRule>
  </x:conditionalFormatting>
  <x:pageMargins left="0.7" right="0.7" top="0.75" bottom="0.75" header="0.3" footer="0.3"/>
</x: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A9B2BB"/>
  </sheetPr>
  <sheetViews>
    <sheetView showGridLines="0" workbookViewId="0"/>
  </sheetViews>
  <sheetFormatPr defaultRowHeight="15"/>
  <cols>
    <col min="1" max="1" width="3" hidden="0" customWidth="1"/>
    <col min="2" max="2" width="28" hidden="0" customWidth="1"/>
    <col min="3" max="3" width="95" hidden="0" customWidth="1"/>
    <col min="4" max="4" width="7" hidden="0" customWidth="1"/>
    <col min="5" max="5" width="7" hidden="0" customWidth="1"/>
    <col min="6" max="6" width="7" hidden="0" customWidth="1"/>
    <col min="7" max="7" width="7" hidden="0" customWidth="1"/>
    <col min="8" max="8" width="7" hidden="0" customWidth="1"/>
    <col min="9" max="9" width="7" hidden="0" customWidth="1"/>
    <col min="10" max="10" width="7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3" customHeight="1">
      <c r="A2" s="2"/>
      <c r="B2" s="3" t="str">
        <v>Read Me &amp; Sources</v>
      </c>
      <c r="C2" s="2"/>
      <c r="D2" s="2"/>
      <c r="E2" s="2"/>
      <c r="F2" s="2"/>
      <c r="G2" s="2"/>
      <c r="H2" s="2"/>
      <c r="I2" s="2"/>
      <c r="J2" s="2"/>
    </row>
    <row r="3" ht="23" customHeight="1">
      <c r="A3" s="2"/>
      <c r="B3" s="4"/>
      <c r="C3" s="4"/>
      <c r="D3" s="4"/>
      <c r="E3" s="4"/>
      <c r="F3" s="4"/>
      <c r="G3" s="4"/>
      <c r="H3" s="4"/>
      <c r="I3" s="4"/>
      <c r="J3" s="4"/>
    </row>
    <row r="4" ht="23" customHeight="1">
      <c r="A4" s="2"/>
      <c r="B4" s="2" t="str">
        <v>Mode selected</v>
      </c>
      <c r="C4" s="5" t="str">
        <f>'Inputs'!C4</f>
        <v>Fictional example</v>
      </c>
      <c r="D4" s="5"/>
      <c r="E4" s="5"/>
      <c r="F4" s="2"/>
      <c r="G4" s="2"/>
      <c r="H4" s="2"/>
      <c r="I4" s="2"/>
      <c r="J4" s="2"/>
    </row>
    <row r="5" ht="23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ht="38" customHeight="1">
      <c r="A6" s="2"/>
      <c r="B6" s="55" t="str">
        <v>Purpose</v>
      </c>
      <c r="C6" s="62" t="str">
        <v>Compare order economics and dated cash before choosing proceed, renegotiate, pilot or defer.</v>
      </c>
      <c r="D6" s="2"/>
      <c r="E6" s="2"/>
      <c r="F6" s="2"/>
      <c r="G6" s="2"/>
      <c r="H6" s="2"/>
      <c r="I6" s="2"/>
      <c r="J6" s="2"/>
    </row>
    <row r="7" ht="23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38" customHeight="1">
      <c r="A8" s="2"/>
      <c r="B8" s="55" t="str">
        <v>Start with the example</v>
      </c>
      <c r="C8" s="62" t="str">
        <v>All example values are fictional. None is client data, an industry benchmark or a prediction.</v>
      </c>
      <c r="D8" s="2"/>
      <c r="E8" s="2"/>
      <c r="F8" s="2"/>
      <c r="G8" s="2"/>
      <c r="H8" s="2"/>
      <c r="I8" s="2"/>
      <c r="J8" s="2"/>
    </row>
    <row r="9" ht="38" customHeight="1">
      <c r="A9" s="2"/>
      <c r="B9" s="55" t="str">
        <v>Use your own order</v>
      </c>
      <c r="C9" s="62" t="str">
        <v>Switch Inputs C4 to Your order. Fill blue fields in column E, then company rows 85–104.</v>
      </c>
      <c r="D9" s="2"/>
      <c r="E9" s="2"/>
      <c r="F9" s="2"/>
      <c r="G9" s="2"/>
      <c r="H9" s="2"/>
      <c r="I9" s="2"/>
      <c r="J9" s="2"/>
    </row>
    <row r="10" ht="38" customHeight="1">
      <c r="A10" s="2"/>
      <c r="B10" s="55" t="str">
        <v>Input conventions</v>
      </c>
      <c r="C10" s="62" t="str">
        <v>Amounts are USD. Use calendar dates. Enter a real zero where a cost is excluded; leave unknowns blank.</v>
      </c>
      <c r="D10" s="2"/>
      <c r="E10" s="2"/>
      <c r="F10" s="2"/>
      <c r="G10" s="2"/>
      <c r="H10" s="2"/>
      <c r="I10" s="2"/>
      <c r="J10" s="2"/>
    </row>
    <row r="11" ht="38" customHeight="1">
      <c r="A11" s="2"/>
      <c r="B11" s="55" t="str">
        <v>Scenario changes</v>
      </c>
      <c r="C11" s="62" t="str">
        <v>Change wholesale product-cost uplift, collection delay or allowances. One active model updates all results.</v>
      </c>
      <c r="D11" s="2"/>
      <c r="E11" s="2"/>
      <c r="F11" s="2"/>
      <c r="G11" s="2"/>
      <c r="H11" s="2"/>
      <c r="I11" s="2"/>
      <c r="J11" s="2"/>
    </row>
    <row r="12" ht="38" customHeight="1">
      <c r="A12" s="2"/>
      <c r="B12" s="55" t="str">
        <v>Company forecast</v>
      </c>
      <c r="C12" s="62" t="str">
        <v>Enter opening cash and a reserve, then all other receipts/payments through the final date.</v>
      </c>
      <c r="D12" s="2"/>
      <c r="E12" s="2"/>
      <c r="F12" s="2"/>
      <c r="G12" s="2"/>
      <c r="H12" s="2"/>
      <c r="I12" s="2"/>
      <c r="J12" s="2"/>
    </row>
    <row r="13" ht="38" customHeight="1">
      <c r="A13" s="2"/>
      <c r="B13" s="55" t="str">
        <v>Prevent double counting</v>
      </c>
      <c r="C13" s="62" t="str">
        <v>Match a copied order payment to its order ID using Already in order. Exact matches are excluded.</v>
      </c>
      <c r="D13" s="2"/>
      <c r="E13" s="2"/>
      <c r="F13" s="2"/>
      <c r="G13" s="2"/>
      <c r="H13" s="2"/>
      <c r="I13" s="2"/>
      <c r="J13" s="2"/>
    </row>
    <row r="14" ht="38" customHeight="1">
      <c r="A14" s="2"/>
      <c r="B14" s="55" t="str">
        <v>Duplicate limits</v>
      </c>
      <c r="C14" s="62" t="str">
        <v>Duplicate IDs are flagged. Different IDs can still conceal duplicates; confirm source reconciliation in editable Inputs E52.</v>
      </c>
      <c r="D14" s="2"/>
      <c r="E14" s="2"/>
      <c r="F14" s="2"/>
      <c r="G14" s="2"/>
      <c r="H14" s="2"/>
      <c r="I14" s="2"/>
      <c r="J14" s="2"/>
    </row>
    <row r="15" ht="38" customHeight="1">
      <c r="A15" s="2"/>
      <c r="B15" s="55" t="str">
        <v>Forecast coverage</v>
      </c>
      <c r="C15" s="62" t="str">
        <v>Confirm completeness in editable Inputs E51. Include payroll, DTC stock, taxes, debt and confirmed financing.</v>
      </c>
      <c r="D15" s="2"/>
      <c r="E15" s="2"/>
      <c r="F15" s="2"/>
      <c r="G15" s="2"/>
      <c r="H15" s="2"/>
      <c r="I15" s="2"/>
      <c r="J15" s="2"/>
    </row>
    <row r="16" ht="38" customHeight="1">
      <c r="A16" s="2"/>
      <c r="B16" s="55" t="str">
        <v>Funding duration</v>
      </c>
      <c r="C16" s="62" t="str">
        <v>Days to collection measures deposit-to-collection elapsed days. Negative-cash days counts daily deficits.</v>
      </c>
      <c r="D16" s="2"/>
      <c r="E16" s="2"/>
      <c r="F16" s="2"/>
      <c r="G16" s="2"/>
      <c r="H16" s="2"/>
      <c r="I16" s="2"/>
      <c r="J16" s="2"/>
    </row>
    <row r="17" ht="38" customHeight="1">
      <c r="A17" s="2"/>
      <c r="B17" s="55" t="str">
        <v>Dates and horizon</v>
      </c>
      <c r="C17" s="62" t="str">
        <v>Cash dates auto-extend through the latest entry, up to 730 elapsed days from forecast start.</v>
      </c>
      <c r="D17" s="2"/>
      <c r="E17" s="2"/>
      <c r="F17" s="2"/>
      <c r="G17" s="2"/>
      <c r="H17" s="2"/>
      <c r="I17" s="2"/>
      <c r="J17" s="2"/>
    </row>
    <row r="18" ht="38" customHeight="1">
      <c r="A18" s="2"/>
      <c r="B18" s="55" t="str">
        <v>Same-day cash</v>
      </c>
      <c r="C18" s="62" t="str">
        <v>Receipts/payments net on each date. No intraday liquidity or business-day/holiday adjustment is modeled.</v>
      </c>
      <c r="D18" s="2"/>
      <c r="E18" s="2"/>
      <c r="F18" s="2"/>
      <c r="G18" s="2"/>
      <c r="H18" s="2"/>
      <c r="I18" s="2"/>
      <c r="J18" s="2"/>
    </row>
    <row r="19" ht="38" customHeight="1">
      <c r="A19" s="2"/>
      <c r="B19" s="55" t="str">
        <v>Cost definitions</v>
      </c>
      <c r="C19" s="62" t="str">
        <v>Contribution = net sales less the listed variable costs. It excludes financing, taxes and fixed overhead.</v>
      </c>
      <c r="D19" s="2"/>
      <c r="E19" s="2"/>
      <c r="F19" s="2"/>
      <c r="G19" s="2"/>
      <c r="H19" s="2"/>
      <c r="I19" s="2"/>
      <c r="J19" s="2"/>
    </row>
    <row r="20" ht="38" customHeight="1">
      <c r="A20" s="2"/>
      <c r="B20" s="55" t="str">
        <v>Additional cash costs</v>
      </c>
      <c r="C20" s="62" t="str">
        <v>Enter taxes, financing charges, incremental overhead and replenishment in Inputs. They reduce cash separately.</v>
      </c>
      <c r="D20" s="2"/>
      <c r="E20" s="2"/>
      <c r="F20" s="2"/>
      <c r="G20" s="2"/>
      <c r="H20" s="2"/>
      <c r="I20" s="2"/>
      <c r="J20" s="2"/>
    </row>
    <row r="21" ht="38" customHeight="1">
      <c r="A21" s="2"/>
      <c r="B21" s="55" t="str">
        <v>Returns and tariffs</v>
      </c>
      <c r="C21" s="62" t="str">
        <v>Allowances reduce sales. Returns processing is separate; no recovered inventory is modeled. Include tariffs in product cost.</v>
      </c>
      <c r="D21" s="2"/>
      <c r="E21" s="2"/>
      <c r="F21" s="2"/>
      <c r="G21" s="2"/>
      <c r="H21" s="2"/>
      <c r="I21" s="2"/>
      <c r="J21" s="2"/>
    </row>
    <row r="22" ht="38" customHeight="1">
      <c r="A22" s="2"/>
      <c r="B22" s="55" t="str">
        <v>Financing</v>
      </c>
      <c r="C22" s="62" t="str">
        <v>No borrowing capacity is inferred. Put actual dated principal/financing receipts and repayments in the company ledger.</v>
      </c>
      <c r="D22" s="2"/>
      <c r="E22" s="2"/>
      <c r="F22" s="2"/>
      <c r="G22" s="2"/>
      <c r="H22" s="2"/>
      <c r="I22" s="2"/>
      <c r="J22" s="2"/>
    </row>
    <row r="23" ht="38" customHeight="1">
      <c r="A23" s="2"/>
      <c r="B23" s="55" t="str">
        <v>What this compares</v>
      </c>
      <c r="C23" s="62" t="str">
        <v>DTC and wholesale contribution use the same units. Only the proposed wholesale order has a cash schedule.</v>
      </c>
      <c r="D23" s="2"/>
      <c r="E23" s="2"/>
      <c r="F23" s="2"/>
      <c r="G23" s="2"/>
      <c r="H23" s="2"/>
      <c r="I23" s="2"/>
      <c r="J23" s="2"/>
    </row>
    <row r="24" ht="38" customHeight="1">
      <c r="A24" s="2"/>
      <c r="B24" s="55" t="str">
        <v>Cash versus contribution</v>
      </c>
      <c r="C24" s="62" t="str">
        <v>Final order cash differs by taxes, financing, overhead and future replenishment. The visible bridge reconciles them.</v>
      </c>
      <c r="D24" s="2"/>
      <c r="E24" s="2"/>
      <c r="F24" s="2"/>
      <c r="G24" s="2"/>
      <c r="H24" s="2"/>
      <c r="I24" s="2"/>
      <c r="J24" s="2"/>
    </row>
    <row r="25" ht="38" customHeight="1">
      <c r="A25" s="2"/>
      <c r="B25" s="55" t="str">
        <v>Missing inputs</v>
      </c>
      <c r="C25" s="62" t="str">
        <v>n.a. means unavailable. Missing terms block timing; valid contribution can remain visible. Blank user mode has no defaults.</v>
      </c>
      <c r="D25" s="2"/>
      <c r="E25" s="2"/>
      <c r="F25" s="2"/>
      <c r="G25" s="2"/>
      <c r="H25" s="2"/>
      <c r="I25" s="2"/>
      <c r="J25" s="2"/>
    </row>
    <row r="26" ht="38" customHeight="1">
      <c r="A26" s="2"/>
      <c r="B26" s="55" t="str">
        <v>Review and decide</v>
      </c>
      <c r="C26" s="62" t="str">
        <v>Review contracts, capacity, DTC commitments and downside. A high margin or cash balance does not select Proceed.</v>
      </c>
      <c r="D26" s="2"/>
      <c r="E26" s="2"/>
      <c r="F26" s="2"/>
      <c r="G26" s="2"/>
      <c r="H26" s="2"/>
      <c r="I26" s="2"/>
      <c r="J26" s="2"/>
    </row>
    <row r="27" ht="23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38" customHeight="1">
      <c r="A28" s="2"/>
      <c r="B28" s="55" t="str">
        <v>Illustration dates</v>
      </c>
      <c r="C28" s="62" t="str">
        <v>September 21, 2026 is invented day 0. Day 45 = Nov 5; day 60 = Nov 20; day 120 = Jan 19, 2027.</v>
      </c>
      <c r="D28" s="2"/>
      <c r="E28" s="2"/>
      <c r="F28" s="2"/>
      <c r="G28" s="2"/>
      <c r="H28" s="2"/>
      <c r="I28" s="2"/>
      <c r="J28" s="2"/>
    </row>
    <row r="29" ht="38" customHeight="1">
      <c r="A29" s="2"/>
      <c r="B29" s="55" t="str">
        <v>Company overlay example</v>
      </c>
      <c r="C29" s="62" t="str">
        <v>Opening cash $100,000; a $20,000 payment on day 30; reserve $25,000. A copied deposit row is excluded once.</v>
      </c>
      <c r="D29" s="2"/>
      <c r="E29" s="2"/>
      <c r="F29" s="2"/>
      <c r="G29" s="2"/>
      <c r="H29" s="2"/>
      <c r="I29" s="2"/>
      <c r="J29" s="2"/>
    </row>
    <row r="30" ht="38" customHeight="1">
      <c r="A30" s="2"/>
      <c r="B30" s="55" t="str">
        <v>Evidence labels</v>
      </c>
      <c r="C30" s="62" t="str">
        <v>Published illustration: source-linked but fictional. Company overlay and calendar anchor: additional assumed examples.</v>
      </c>
      <c r="D30" s="2"/>
      <c r="E30" s="2"/>
      <c r="F30" s="2"/>
      <c r="G30" s="2"/>
      <c r="H30" s="2"/>
      <c r="I30" s="2"/>
      <c r="J30" s="2"/>
    </row>
    <row r="31" ht="23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38" customHeight="1">
      <c r="A32" s="2"/>
      <c r="B32" s="55" t="str">
        <v>Sources checked</v>
      </c>
      <c r="C32" s="62" t="str">
        <v>Source links below were checked September 18, 2026. They explain mechanics; your signed contracts control your order.</v>
      </c>
      <c r="D32" s="2"/>
      <c r="E32" s="2"/>
      <c r="F32" s="2"/>
      <c r="G32" s="2"/>
      <c r="H32" s="2"/>
      <c r="I32" s="2"/>
      <c r="J32" s="2"/>
    </row>
    <row r="33" ht="35" customHeight="1">
      <c r="A33" s="2"/>
      <c r="B33" s="2" t="str">
        <v>Wholesale guide</v>
      </c>
      <c r="C33" s="70" t="str">
        <v>https://inflectioncfo.co/blog/dtc-wholesale-readiness-cash-flow/</v>
      </c>
      <c r="D33" s="2"/>
      <c r="E33" s="2"/>
      <c r="F33" s="2"/>
      <c r="G33" s="2"/>
      <c r="H33" s="2"/>
      <c r="I33" s="2"/>
      <c r="J33" s="2"/>
    </row>
    <row r="34" ht="35" customHeight="1">
      <c r="A34" s="2"/>
      <c r="B34" s="2" t="str">
        <v>Channel comparison</v>
      </c>
      <c r="C34" s="70" t="str">
        <v>https://www.shopify.com/enterprise/blog/direct-to-consumer-vs-wholesale</v>
      </c>
      <c r="D34" s="2"/>
      <c r="E34" s="2"/>
      <c r="F34" s="2"/>
      <c r="G34" s="2"/>
      <c r="H34" s="2"/>
      <c r="I34" s="2"/>
      <c r="J34" s="2"/>
    </row>
    <row r="35" ht="35" customHeight="1">
      <c r="A35" s="2"/>
      <c r="B35" s="2" t="str">
        <v>Payment methods</v>
      </c>
      <c r="C35" s="70" t="str">
        <v>https://help.shopify.com/en/manual/b2b/checkout-and-orders/payment-methods</v>
      </c>
      <c r="D35" s="2"/>
      <c r="E35" s="2"/>
      <c r="F35" s="2"/>
      <c r="G35" s="2"/>
      <c r="H35" s="2"/>
      <c r="I35" s="2"/>
      <c r="J35" s="2"/>
    </row>
    <row r="36" ht="55" customHeight="1">
      <c r="A36" s="2"/>
      <c r="B36" s="2" t="str">
        <v>Contribution definition</v>
      </c>
      <c r="C36" s="70" t="str">
        <v>https://openstax.org/books/principles-managerial-accounting/pages/3-1-explain-contribution-margin-and-calculate-contribution-margin-per-unit-contribution-margin-ratio-and-total-contribution-margin</v>
      </c>
      <c r="D36" s="2"/>
      <c r="E36" s="2"/>
      <c r="F36" s="2"/>
      <c r="G36" s="2"/>
      <c r="H36" s="2"/>
      <c r="I36" s="2"/>
      <c r="J36" s="2"/>
    </row>
    <row r="37" ht="35" customHeight="1">
      <c r="A37" s="2"/>
      <c r="B37" s="2" t="str">
        <v>Cash forecast guidance</v>
      </c>
      <c r="C37" s="70" t="str">
        <v>https://business.gov.au/finance/cash-flow/set-up-a-cash-flow-statement</v>
      </c>
      <c r="D37" s="2"/>
      <c r="E37" s="2"/>
      <c r="F37" s="2"/>
      <c r="G37" s="2"/>
      <c r="H37" s="2"/>
      <c r="I37" s="2"/>
      <c r="J37" s="2"/>
    </row>
    <row r="38" ht="23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38" customHeight="1">
      <c r="A39" s="2"/>
      <c r="B39" s="55" t="str">
        <v>Version</v>
      </c>
      <c r="C39" s="62" t="str">
        <v>September 18, 2026. Internal editable derivative. No website publication or independent professional review is implied.</v>
      </c>
      <c r="D39" s="2"/>
      <c r="E39" s="2"/>
      <c r="F39" s="2"/>
      <c r="G39" s="2"/>
      <c r="H39" s="2"/>
      <c r="I39" s="2"/>
      <c r="J39" s="2"/>
    </row>
    <row r="40" ht="23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23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23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23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ht="23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ht="23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ht="23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23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ht="23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23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ht="23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</sheetData>
  <hyperlinks>
    <hyperlink ref="C33" r:id="rIdWholesaleLink1"/>
    <hyperlink ref="C34" r:id="rIdWholesaleLink2"/>
    <hyperlink ref="C35" r:id="rIdWholesaleLink3"/>
    <hyperlink ref="C36" r:id="rIdWholesaleLink4"/>
    <hyperlink ref="C37" r:id="rIdWholesaleLink5"/>
  </hyperlinks>
  <pageMargins left="0.7" right="0.7" top="0.75" bottom="0.75" header="0.3" footer="0.3"/>
</worksheet>
</file>